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\Documents\coursDM\AERO_XLS\"/>
    </mc:Choice>
  </mc:AlternateContent>
  <bookViews>
    <workbookView xWindow="0" yWindow="0" windowWidth="19368" windowHeight="10428" tabRatio="630" activeTab="1"/>
  </bookViews>
  <sheets>
    <sheet name="BNR" sheetId="14" r:id="rId1"/>
    <sheet name="BCD" sheetId="13" r:id="rId2"/>
    <sheet name="Cycle Arinc HC12" sheetId="15" r:id="rId3"/>
    <sheet name="RTi HC12" sheetId="16" r:id="rId4"/>
    <sheet name="QNE 203" sheetId="22" r:id="rId5"/>
    <sheet name="DME 201" sheetId="23" r:id="rId6"/>
    <sheet name="VHF_" sheetId="24" r:id="rId7"/>
    <sheet name="DME_202" sheetId="25" r:id="rId8"/>
    <sheet name="Altitude_" sheetId="26" r:id="rId9"/>
    <sheet name="Pitch_Angle" sheetId="27" r:id="rId10"/>
    <sheet name="Bearing_ VOR" sheetId="37" r:id="rId11"/>
    <sheet name="Bearing_" sheetId="28" r:id="rId12"/>
    <sheet name="Roll_Angle" sheetId="29" r:id="rId13"/>
    <sheet name="True_Air Speed" sheetId="30" r:id="rId14"/>
    <sheet name="Vertical_Speed" sheetId="31" r:id="rId15"/>
    <sheet name="Magnetic_Heading" sheetId="32" r:id="rId16"/>
    <sheet name="Conversion de Base" sheetId="20" r:id="rId17"/>
    <sheet name="Arinc 429 LABEL" sheetId="18" r:id="rId18"/>
    <sheet name="test DDRMI A330-600" sheetId="17" r:id="rId19"/>
    <sheet name="Cablage DDRMI" sheetId="19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8" i="25" l="1"/>
  <c r="AE18" i="22"/>
  <c r="AD18" i="25" l="1"/>
  <c r="AA12" i="25"/>
  <c r="Z12" i="25" s="1"/>
  <c r="Y12" i="25" s="1"/>
  <c r="X12" i="25" s="1"/>
  <c r="W12" i="25" s="1"/>
  <c r="V12" i="25" s="1"/>
  <c r="U12" i="25" s="1"/>
  <c r="T12" i="25" s="1"/>
  <c r="S12" i="25" s="1"/>
  <c r="R12" i="25" s="1"/>
  <c r="Q12" i="25" s="1"/>
  <c r="P12" i="25" s="1"/>
  <c r="O12" i="25" s="1"/>
  <c r="N12" i="25" s="1"/>
  <c r="M12" i="25" s="1"/>
  <c r="L12" i="25" s="1"/>
  <c r="AB12" i="25"/>
  <c r="AC12" i="25"/>
  <c r="J25" i="16" l="1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K8" i="16"/>
  <c r="K7" i="16"/>
  <c r="K5" i="16"/>
  <c r="K6" i="16"/>
  <c r="G5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D13" i="16"/>
  <c r="D12" i="16"/>
  <c r="D11" i="16"/>
  <c r="D10" i="16"/>
  <c r="D9" i="16"/>
  <c r="D8" i="16"/>
  <c r="D7" i="16"/>
  <c r="D6" i="16"/>
  <c r="D5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F26" i="16" s="1"/>
  <c r="E26" i="16" l="1"/>
  <c r="G26" i="16" s="1"/>
  <c r="E17" i="16"/>
  <c r="G17" i="16" s="1"/>
  <c r="H17" i="16" s="1"/>
  <c r="I17" i="16" s="1"/>
  <c r="E21" i="16"/>
  <c r="G21" i="16" s="1"/>
  <c r="H21" i="16" s="1"/>
  <c r="I21" i="16" s="1"/>
  <c r="E25" i="16"/>
  <c r="G25" i="16" s="1"/>
  <c r="H25" i="16" s="1"/>
  <c r="I25" i="16" s="1"/>
  <c r="E24" i="16"/>
  <c r="G24" i="16" s="1"/>
  <c r="H24" i="16" s="1"/>
  <c r="I24" i="16" s="1"/>
  <c r="E23" i="16"/>
  <c r="G23" i="16" s="1"/>
  <c r="H23" i="16" s="1"/>
  <c r="I23" i="16" s="1"/>
  <c r="E22" i="16"/>
  <c r="G22" i="16" s="1"/>
  <c r="H22" i="16" s="1"/>
  <c r="I22" i="16" s="1"/>
  <c r="E20" i="16"/>
  <c r="G20" i="16" s="1"/>
  <c r="H20" i="16" s="1"/>
  <c r="I20" i="16" s="1"/>
  <c r="J5" i="16"/>
  <c r="H26" i="16" l="1"/>
  <c r="I26" i="16" s="1"/>
  <c r="K26" i="16"/>
  <c r="J26" i="16" s="1"/>
  <c r="AC26" i="37"/>
  <c r="AB26" i="37"/>
  <c r="AA26" i="37"/>
  <c r="Z26" i="37"/>
  <c r="Y26" i="37"/>
  <c r="X26" i="37"/>
  <c r="W26" i="37"/>
  <c r="V26" i="37"/>
  <c r="AD26" i="37" s="1"/>
  <c r="U26" i="37"/>
  <c r="T26" i="37"/>
  <c r="S26" i="37"/>
  <c r="R26" i="37"/>
  <c r="AE25" i="37"/>
  <c r="AC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AD25" i="37" s="1"/>
  <c r="Z10" i="37" s="1"/>
  <c r="I25" i="37"/>
  <c r="G12" i="37" s="1"/>
  <c r="H25" i="37"/>
  <c r="G25" i="37"/>
  <c r="F25" i="37"/>
  <c r="E25" i="37"/>
  <c r="D25" i="37"/>
  <c r="D12" i="37" s="1"/>
  <c r="C25" i="37"/>
  <c r="B25" i="37"/>
  <c r="O24" i="37"/>
  <c r="N24" i="37"/>
  <c r="M24" i="37"/>
  <c r="L24" i="37"/>
  <c r="R20" i="37"/>
  <c r="AF18" i="37"/>
  <c r="AE18" i="37"/>
  <c r="AD18" i="37"/>
  <c r="AC18" i="37"/>
  <c r="AB18" i="37"/>
  <c r="AA18" i="37"/>
  <c r="Z18" i="37"/>
  <c r="Z20" i="37" s="1"/>
  <c r="Y18" i="37"/>
  <c r="X18" i="37"/>
  <c r="W18" i="37"/>
  <c r="V18" i="37"/>
  <c r="V20" i="37" s="1"/>
  <c r="U18" i="37"/>
  <c r="T18" i="37"/>
  <c r="S18" i="37"/>
  <c r="R18" i="37"/>
  <c r="Q18" i="37"/>
  <c r="P18" i="37"/>
  <c r="O18" i="37"/>
  <c r="N18" i="37"/>
  <c r="N20" i="37" s="1"/>
  <c r="M18" i="37"/>
  <c r="L18" i="37"/>
  <c r="K18" i="37"/>
  <c r="J18" i="37"/>
  <c r="J20" i="37" s="1"/>
  <c r="I18" i="37"/>
  <c r="H18" i="37"/>
  <c r="G18" i="37"/>
  <c r="F18" i="37"/>
  <c r="F20" i="37" s="1"/>
  <c r="E18" i="37"/>
  <c r="D18" i="37"/>
  <c r="C18" i="37"/>
  <c r="B18" i="37"/>
  <c r="I16" i="37"/>
  <c r="H16" i="37"/>
  <c r="G16" i="37"/>
  <c r="F16" i="37"/>
  <c r="E16" i="37"/>
  <c r="D16" i="37"/>
  <c r="C16" i="37"/>
  <c r="B16" i="37"/>
  <c r="AG11" i="37"/>
  <c r="AG18" i="37" s="1"/>
  <c r="U1" i="13"/>
  <c r="Q1" i="13"/>
  <c r="M1" i="13"/>
  <c r="I1" i="13"/>
  <c r="U3" i="13"/>
  <c r="Q3" i="13"/>
  <c r="M3" i="13"/>
  <c r="U2" i="13"/>
  <c r="Q2" i="13"/>
  <c r="M2" i="13"/>
  <c r="I3" i="13"/>
  <c r="I2" i="13"/>
  <c r="F20" i="32"/>
  <c r="B20" i="32"/>
  <c r="F20" i="31"/>
  <c r="B20" i="31"/>
  <c r="F20" i="30"/>
  <c r="B20" i="30"/>
  <c r="F20" i="29"/>
  <c r="B20" i="29"/>
  <c r="F20" i="28"/>
  <c r="B20" i="28"/>
  <c r="F20" i="27"/>
  <c r="B20" i="27"/>
  <c r="F20" i="26"/>
  <c r="B20" i="26"/>
  <c r="F20" i="23"/>
  <c r="B20" i="23"/>
  <c r="F20" i="22"/>
  <c r="B20" i="22"/>
  <c r="I16" i="23"/>
  <c r="H16" i="23"/>
  <c r="G16" i="23"/>
  <c r="F16" i="23"/>
  <c r="E16" i="23"/>
  <c r="D16" i="23"/>
  <c r="C16" i="23"/>
  <c r="B16" i="23"/>
  <c r="I16" i="22"/>
  <c r="H16" i="22"/>
  <c r="G16" i="22"/>
  <c r="F16" i="22"/>
  <c r="E16" i="22"/>
  <c r="D16" i="22"/>
  <c r="C16" i="22"/>
  <c r="B16" i="22"/>
  <c r="I16" i="32"/>
  <c r="H16" i="32"/>
  <c r="G16" i="32"/>
  <c r="F16" i="32"/>
  <c r="E16" i="32"/>
  <c r="D16" i="32"/>
  <c r="C16" i="32"/>
  <c r="B16" i="32"/>
  <c r="I16" i="31"/>
  <c r="H16" i="31"/>
  <c r="G16" i="31"/>
  <c r="F16" i="31"/>
  <c r="E16" i="31"/>
  <c r="D16" i="31"/>
  <c r="C16" i="31"/>
  <c r="B16" i="31"/>
  <c r="I16" i="30"/>
  <c r="H16" i="30"/>
  <c r="G16" i="30"/>
  <c r="F16" i="30"/>
  <c r="E16" i="30"/>
  <c r="D16" i="30"/>
  <c r="C16" i="30"/>
  <c r="B16" i="30"/>
  <c r="I16" i="29"/>
  <c r="H16" i="29"/>
  <c r="G16" i="29"/>
  <c r="F16" i="29"/>
  <c r="E16" i="29"/>
  <c r="D16" i="29"/>
  <c r="C16" i="29"/>
  <c r="B16" i="29"/>
  <c r="I16" i="28"/>
  <c r="H16" i="28"/>
  <c r="G16" i="28"/>
  <c r="F16" i="28"/>
  <c r="E16" i="28"/>
  <c r="D16" i="28"/>
  <c r="C16" i="28"/>
  <c r="B16" i="28"/>
  <c r="I16" i="27"/>
  <c r="H16" i="27"/>
  <c r="G16" i="27"/>
  <c r="F16" i="27"/>
  <c r="E16" i="27"/>
  <c r="D16" i="27"/>
  <c r="C16" i="27"/>
  <c r="B16" i="27"/>
  <c r="I16" i="26"/>
  <c r="H16" i="26"/>
  <c r="G16" i="26"/>
  <c r="F16" i="26"/>
  <c r="E16" i="26"/>
  <c r="D16" i="26"/>
  <c r="C16" i="26"/>
  <c r="B16" i="26"/>
  <c r="F20" i="25"/>
  <c r="B20" i="25"/>
  <c r="I16" i="25"/>
  <c r="H16" i="25"/>
  <c r="G16" i="25"/>
  <c r="F16" i="25"/>
  <c r="E16" i="25"/>
  <c r="D16" i="25"/>
  <c r="C16" i="25"/>
  <c r="B16" i="25"/>
  <c r="F20" i="24"/>
  <c r="B20" i="24"/>
  <c r="I16" i="24"/>
  <c r="H16" i="24"/>
  <c r="G16" i="24"/>
  <c r="F16" i="24"/>
  <c r="E16" i="24"/>
  <c r="D16" i="24"/>
  <c r="C16" i="24"/>
  <c r="B16" i="24"/>
  <c r="F18" i="24"/>
  <c r="I25" i="32"/>
  <c r="H25" i="32"/>
  <c r="G25" i="32"/>
  <c r="F25" i="32"/>
  <c r="E25" i="32"/>
  <c r="D25" i="32"/>
  <c r="C25" i="32"/>
  <c r="B25" i="32"/>
  <c r="I18" i="32"/>
  <c r="H18" i="32"/>
  <c r="G18" i="32"/>
  <c r="F18" i="32"/>
  <c r="E18" i="32"/>
  <c r="D18" i="32"/>
  <c r="C18" i="32"/>
  <c r="B18" i="32"/>
  <c r="D12" i="32"/>
  <c r="I25" i="31"/>
  <c r="H25" i="31"/>
  <c r="G25" i="31"/>
  <c r="F25" i="31"/>
  <c r="E25" i="31"/>
  <c r="D25" i="31"/>
  <c r="C25" i="31"/>
  <c r="B25" i="31"/>
  <c r="B12" i="31" s="1"/>
  <c r="I18" i="31"/>
  <c r="H18" i="31"/>
  <c r="G18" i="31"/>
  <c r="F18" i="31"/>
  <c r="E18" i="31"/>
  <c r="D18" i="31"/>
  <c r="C18" i="31"/>
  <c r="B18" i="31"/>
  <c r="I25" i="30"/>
  <c r="H25" i="30"/>
  <c r="G25" i="30"/>
  <c r="F25" i="30"/>
  <c r="E25" i="30"/>
  <c r="D25" i="30"/>
  <c r="C25" i="30"/>
  <c r="B25" i="30"/>
  <c r="B12" i="30" s="1"/>
  <c r="I18" i="30"/>
  <c r="H18" i="30"/>
  <c r="G18" i="30"/>
  <c r="F18" i="30"/>
  <c r="E18" i="30"/>
  <c r="D18" i="30"/>
  <c r="C18" i="30"/>
  <c r="B18" i="30"/>
  <c r="I25" i="29"/>
  <c r="H25" i="29"/>
  <c r="G25" i="29"/>
  <c r="F25" i="29"/>
  <c r="E25" i="29"/>
  <c r="D25" i="29"/>
  <c r="C25" i="29"/>
  <c r="B25" i="29"/>
  <c r="B12" i="29" s="1"/>
  <c r="I18" i="29"/>
  <c r="H18" i="29"/>
  <c r="G18" i="29"/>
  <c r="F18" i="29"/>
  <c r="E18" i="29"/>
  <c r="D18" i="29"/>
  <c r="C18" i="29"/>
  <c r="B18" i="29"/>
  <c r="I25" i="28"/>
  <c r="H25" i="28"/>
  <c r="G25" i="28"/>
  <c r="F25" i="28"/>
  <c r="E25" i="28"/>
  <c r="D25" i="28"/>
  <c r="C25" i="28"/>
  <c r="B25" i="28"/>
  <c r="B12" i="28" s="1"/>
  <c r="I18" i="28"/>
  <c r="H18" i="28"/>
  <c r="G18" i="28"/>
  <c r="F18" i="28"/>
  <c r="E18" i="28"/>
  <c r="D18" i="28"/>
  <c r="C18" i="28"/>
  <c r="B18" i="28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AE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N24" i="32"/>
  <c r="M24" i="32"/>
  <c r="L24" i="32"/>
  <c r="AF18" i="32"/>
  <c r="AE18" i="32"/>
  <c r="AD18" i="32"/>
  <c r="AC18" i="32"/>
  <c r="AB18" i="32"/>
  <c r="AA18" i="32"/>
  <c r="Z18" i="32"/>
  <c r="Y18" i="32"/>
  <c r="X18" i="32"/>
  <c r="W18" i="32"/>
  <c r="V18" i="32"/>
  <c r="V20" i="32" s="1"/>
  <c r="U18" i="32"/>
  <c r="T18" i="32"/>
  <c r="S18" i="32"/>
  <c r="R18" i="32"/>
  <c r="Q18" i="32"/>
  <c r="P18" i="32"/>
  <c r="O18" i="32"/>
  <c r="N18" i="32"/>
  <c r="N20" i="32" s="1"/>
  <c r="M18" i="32"/>
  <c r="L18" i="32"/>
  <c r="K18" i="32"/>
  <c r="J18" i="32"/>
  <c r="AG11" i="32"/>
  <c r="AG18" i="32" s="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AE25" i="31"/>
  <c r="L24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AC12" i="31"/>
  <c r="AC25" i="31" s="1"/>
  <c r="AB12" i="31"/>
  <c r="AB25" i="31" s="1"/>
  <c r="AA12" i="31"/>
  <c r="AA25" i="31" s="1"/>
  <c r="Z12" i="31"/>
  <c r="Z25" i="31" s="1"/>
  <c r="Y12" i="31"/>
  <c r="Y25" i="31" s="1"/>
  <c r="X12" i="31"/>
  <c r="X25" i="31" s="1"/>
  <c r="W12" i="31"/>
  <c r="W25" i="31" s="1"/>
  <c r="V12" i="31"/>
  <c r="V25" i="31" s="1"/>
  <c r="U12" i="31"/>
  <c r="U25" i="31" s="1"/>
  <c r="T12" i="31"/>
  <c r="T25" i="31" s="1"/>
  <c r="S12" i="31"/>
  <c r="S25" i="31" s="1"/>
  <c r="R12" i="31"/>
  <c r="R25" i="31" s="1"/>
  <c r="Q12" i="31"/>
  <c r="Q25" i="31" s="1"/>
  <c r="P12" i="31"/>
  <c r="P25" i="31" s="1"/>
  <c r="O12" i="31"/>
  <c r="O25" i="31" s="1"/>
  <c r="N12" i="31"/>
  <c r="N25" i="31" s="1"/>
  <c r="M12" i="31"/>
  <c r="M25" i="31" s="1"/>
  <c r="AG11" i="31"/>
  <c r="AG18" i="31" s="1"/>
  <c r="AE25" i="30"/>
  <c r="U25" i="30"/>
  <c r="Q25" i="30"/>
  <c r="N25" i="30"/>
  <c r="M25" i="30"/>
  <c r="N24" i="30"/>
  <c r="M24" i="30"/>
  <c r="L24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20" i="30" s="1"/>
  <c r="N18" i="30"/>
  <c r="M18" i="30"/>
  <c r="L18" i="30"/>
  <c r="K18" i="30"/>
  <c r="J18" i="30"/>
  <c r="AC12" i="30"/>
  <c r="AC25" i="30" s="1"/>
  <c r="AB12" i="30"/>
  <c r="AB25" i="30" s="1"/>
  <c r="AA12" i="30"/>
  <c r="AA25" i="30" s="1"/>
  <c r="Z12" i="30"/>
  <c r="Z25" i="30" s="1"/>
  <c r="Y12" i="30"/>
  <c r="Y25" i="30" s="1"/>
  <c r="X12" i="30"/>
  <c r="X25" i="30" s="1"/>
  <c r="W12" i="30"/>
  <c r="W25" i="30" s="1"/>
  <c r="V12" i="30"/>
  <c r="V25" i="30" s="1"/>
  <c r="U12" i="30"/>
  <c r="T12" i="30"/>
  <c r="T25" i="30" s="1"/>
  <c r="S12" i="30"/>
  <c r="S25" i="30" s="1"/>
  <c r="R12" i="30"/>
  <c r="R25" i="30" s="1"/>
  <c r="Q12" i="30"/>
  <c r="P12" i="30"/>
  <c r="P25" i="30" s="1"/>
  <c r="O12" i="30"/>
  <c r="O25" i="30" s="1"/>
  <c r="AG11" i="30"/>
  <c r="AG18" i="30" s="1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AE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O24" i="29"/>
  <c r="N24" i="29"/>
  <c r="M24" i="29"/>
  <c r="L24" i="29"/>
  <c r="AF18" i="29"/>
  <c r="AE18" i="29"/>
  <c r="AD18" i="29"/>
  <c r="AC18" i="29"/>
  <c r="AB18" i="29"/>
  <c r="AA18" i="29"/>
  <c r="Z18" i="29"/>
  <c r="Z20" i="29" s="1"/>
  <c r="Y18" i="29"/>
  <c r="X18" i="29"/>
  <c r="W18" i="29"/>
  <c r="V18" i="29"/>
  <c r="U18" i="29"/>
  <c r="T18" i="29"/>
  <c r="S18" i="29"/>
  <c r="R18" i="29"/>
  <c r="Q18" i="29"/>
  <c r="P18" i="29"/>
  <c r="O18" i="29"/>
  <c r="N20" i="29" s="1"/>
  <c r="N18" i="29"/>
  <c r="M18" i="29"/>
  <c r="L18" i="29"/>
  <c r="K18" i="29"/>
  <c r="J18" i="29"/>
  <c r="J20" i="29" s="1"/>
  <c r="AG11" i="29"/>
  <c r="AG18" i="29" s="1"/>
  <c r="AC26" i="28"/>
  <c r="AB26" i="28"/>
  <c r="AA26" i="28"/>
  <c r="Z26" i="28"/>
  <c r="Y26" i="28"/>
  <c r="X26" i="28"/>
  <c r="W26" i="28"/>
  <c r="V26" i="28"/>
  <c r="U26" i="28"/>
  <c r="T26" i="28"/>
  <c r="S26" i="28"/>
  <c r="R26" i="28"/>
  <c r="AE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O24" i="28"/>
  <c r="N24" i="28"/>
  <c r="M24" i="28"/>
  <c r="L24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AG11" i="28"/>
  <c r="AG18" i="28" s="1"/>
  <c r="I25" i="27"/>
  <c r="H25" i="27"/>
  <c r="G25" i="27"/>
  <c r="F25" i="27"/>
  <c r="E25" i="27"/>
  <c r="D12" i="27" s="1"/>
  <c r="D25" i="27"/>
  <c r="C25" i="27"/>
  <c r="B25" i="27"/>
  <c r="B12" i="27" s="1"/>
  <c r="I18" i="27"/>
  <c r="H18" i="27"/>
  <c r="G18" i="27"/>
  <c r="F18" i="27"/>
  <c r="E18" i="27"/>
  <c r="D18" i="27"/>
  <c r="C18" i="27"/>
  <c r="B18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AE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O24" i="27"/>
  <c r="N24" i="27"/>
  <c r="M24" i="27"/>
  <c r="L24" i="27"/>
  <c r="AF18" i="27"/>
  <c r="AE18" i="27"/>
  <c r="AD18" i="27"/>
  <c r="AC18" i="27"/>
  <c r="AB18" i="27"/>
  <c r="AA18" i="27"/>
  <c r="Z18" i="27"/>
  <c r="Y18" i="27"/>
  <c r="X18" i="27"/>
  <c r="V20" i="27" s="1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AG11" i="27"/>
  <c r="AG18" i="27" s="1"/>
  <c r="I25" i="26"/>
  <c r="H25" i="26"/>
  <c r="G25" i="26"/>
  <c r="F25" i="26"/>
  <c r="E25" i="26"/>
  <c r="D25" i="26"/>
  <c r="C25" i="26"/>
  <c r="B12" i="26" s="1"/>
  <c r="B25" i="26"/>
  <c r="I18" i="26"/>
  <c r="H18" i="26"/>
  <c r="G18" i="26"/>
  <c r="F18" i="26"/>
  <c r="E18" i="26"/>
  <c r="D18" i="26"/>
  <c r="C18" i="26"/>
  <c r="B18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W25" i="26"/>
  <c r="V25" i="26"/>
  <c r="S25" i="26"/>
  <c r="O25" i="26"/>
  <c r="N25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R20" i="26" s="1"/>
  <c r="S18" i="26"/>
  <c r="R18" i="26"/>
  <c r="Q18" i="26"/>
  <c r="P18" i="26"/>
  <c r="O18" i="26"/>
  <c r="N18" i="26"/>
  <c r="M18" i="26"/>
  <c r="L18" i="26"/>
  <c r="K18" i="26"/>
  <c r="J18" i="26"/>
  <c r="AC12" i="26"/>
  <c r="AC25" i="26" s="1"/>
  <c r="AB12" i="26"/>
  <c r="AB25" i="26" s="1"/>
  <c r="AA12" i="26"/>
  <c r="AA25" i="26" s="1"/>
  <c r="Z12" i="26"/>
  <c r="Z25" i="26" s="1"/>
  <c r="Y12" i="26"/>
  <c r="Y25" i="26" s="1"/>
  <c r="X12" i="26"/>
  <c r="X25" i="26" s="1"/>
  <c r="W12" i="26"/>
  <c r="V12" i="26"/>
  <c r="U12" i="26"/>
  <c r="U25" i="26" s="1"/>
  <c r="T12" i="26"/>
  <c r="T25" i="26" s="1"/>
  <c r="S12" i="26"/>
  <c r="R12" i="26"/>
  <c r="R25" i="26" s="1"/>
  <c r="Q12" i="26"/>
  <c r="Q25" i="26" s="1"/>
  <c r="P12" i="26"/>
  <c r="P25" i="26" s="1"/>
  <c r="O12" i="26"/>
  <c r="N12" i="26"/>
  <c r="M12" i="26"/>
  <c r="M25" i="26" s="1"/>
  <c r="L12" i="26"/>
  <c r="L25" i="26" s="1"/>
  <c r="K12" i="26"/>
  <c r="K25" i="26" s="1"/>
  <c r="J12" i="26"/>
  <c r="J25" i="26" s="1"/>
  <c r="AG11" i="26"/>
  <c r="AG18" i="26" s="1"/>
  <c r="I25" i="25"/>
  <c r="H25" i="25"/>
  <c r="G25" i="25"/>
  <c r="F25" i="25"/>
  <c r="D12" i="25" s="1"/>
  <c r="E25" i="25"/>
  <c r="D25" i="25"/>
  <c r="C25" i="25"/>
  <c r="B12" i="25" s="1"/>
  <c r="B25" i="25"/>
  <c r="I18" i="25"/>
  <c r="H18" i="25"/>
  <c r="G18" i="25"/>
  <c r="F18" i="25"/>
  <c r="E18" i="25"/>
  <c r="D18" i="25"/>
  <c r="C18" i="25"/>
  <c r="B18" i="25"/>
  <c r="J26" i="25"/>
  <c r="AC25" i="25"/>
  <c r="U25" i="25"/>
  <c r="M25" i="25"/>
  <c r="K25" i="25"/>
  <c r="J25" i="25"/>
  <c r="K24" i="25"/>
  <c r="J24" i="25"/>
  <c r="AF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AD25" i="25"/>
  <c r="AB25" i="25"/>
  <c r="AA25" i="25"/>
  <c r="Z25" i="25"/>
  <c r="Y25" i="25"/>
  <c r="X25" i="25"/>
  <c r="W25" i="25"/>
  <c r="V25" i="25"/>
  <c r="T25" i="25"/>
  <c r="S25" i="25"/>
  <c r="R25" i="25"/>
  <c r="Q25" i="25"/>
  <c r="P25" i="25"/>
  <c r="O25" i="25"/>
  <c r="N25" i="25"/>
  <c r="L25" i="25"/>
  <c r="AG11" i="25"/>
  <c r="AG18" i="25" s="1"/>
  <c r="I25" i="24"/>
  <c r="H25" i="24"/>
  <c r="G25" i="24"/>
  <c r="F25" i="24"/>
  <c r="D12" i="24" s="1"/>
  <c r="E25" i="24"/>
  <c r="D25" i="24"/>
  <c r="C25" i="24"/>
  <c r="B25" i="24"/>
  <c r="B12" i="24" s="1"/>
  <c r="I18" i="24"/>
  <c r="H18" i="24"/>
  <c r="G18" i="24"/>
  <c r="E18" i="24"/>
  <c r="D18" i="24"/>
  <c r="C18" i="24"/>
  <c r="B18" i="24"/>
  <c r="O26" i="24"/>
  <c r="N26" i="24"/>
  <c r="O25" i="24"/>
  <c r="N25" i="24"/>
  <c r="M25" i="24"/>
  <c r="AD24" i="24"/>
  <c r="AB12" i="24" s="1"/>
  <c r="AB25" i="24" s="1"/>
  <c r="AC24" i="24"/>
  <c r="AB24" i="24"/>
  <c r="AA24" i="24"/>
  <c r="Z24" i="24"/>
  <c r="Y24" i="24"/>
  <c r="X24" i="24"/>
  <c r="W24" i="24"/>
  <c r="V24" i="24"/>
  <c r="U24" i="24"/>
  <c r="T24" i="24"/>
  <c r="T12" i="24" s="1"/>
  <c r="U25" i="24" s="1"/>
  <c r="S24" i="24"/>
  <c r="P12" i="24" s="1"/>
  <c r="P25" i="24" s="1"/>
  <c r="R24" i="24"/>
  <c r="Q24" i="24"/>
  <c r="P24" i="24"/>
  <c r="N24" i="24"/>
  <c r="AF18" i="24"/>
  <c r="AE18" i="24"/>
  <c r="AD18" i="24"/>
  <c r="AC18" i="24"/>
  <c r="AB18" i="24"/>
  <c r="AA18" i="24"/>
  <c r="Z18" i="24"/>
  <c r="Y18" i="24"/>
  <c r="X18" i="24"/>
  <c r="W18" i="24"/>
  <c r="V18" i="24"/>
  <c r="U18" i="24"/>
  <c r="T18" i="24"/>
  <c r="S18" i="24"/>
  <c r="R18" i="24"/>
  <c r="Q18" i="24"/>
  <c r="P18" i="24"/>
  <c r="O18" i="24"/>
  <c r="N18" i="24"/>
  <c r="M18" i="24"/>
  <c r="L18" i="24"/>
  <c r="K18" i="24"/>
  <c r="J18" i="24"/>
  <c r="L12" i="24"/>
  <c r="AG11" i="24"/>
  <c r="AG18" i="24" s="1"/>
  <c r="G12" i="23"/>
  <c r="I25" i="23"/>
  <c r="H25" i="23"/>
  <c r="G25" i="23"/>
  <c r="F25" i="23"/>
  <c r="E25" i="23"/>
  <c r="D25" i="23"/>
  <c r="D12" i="23" s="1"/>
  <c r="C25" i="23"/>
  <c r="B25" i="23"/>
  <c r="B12" i="23" s="1"/>
  <c r="H25" i="22"/>
  <c r="E25" i="22"/>
  <c r="D12" i="22"/>
  <c r="B12" i="22"/>
  <c r="I25" i="22"/>
  <c r="G12" i="22"/>
  <c r="G25" i="22"/>
  <c r="F25" i="22"/>
  <c r="C25" i="22"/>
  <c r="B25" i="22"/>
  <c r="X13" i="23"/>
  <c r="T13" i="23" s="1"/>
  <c r="P13" i="23" s="1"/>
  <c r="C18" i="23"/>
  <c r="D18" i="23"/>
  <c r="E18" i="23"/>
  <c r="F18" i="23"/>
  <c r="G18" i="23"/>
  <c r="H18" i="23"/>
  <c r="I18" i="23"/>
  <c r="B18" i="23"/>
  <c r="O26" i="23"/>
  <c r="N26" i="23"/>
  <c r="O25" i="23"/>
  <c r="N25" i="23"/>
  <c r="M25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N24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R20" i="23" s="1"/>
  <c r="S18" i="23"/>
  <c r="R18" i="23"/>
  <c r="Q18" i="23"/>
  <c r="P18" i="23"/>
  <c r="O18" i="23"/>
  <c r="N18" i="23"/>
  <c r="M18" i="23"/>
  <c r="L18" i="23"/>
  <c r="K18" i="23"/>
  <c r="J18" i="23"/>
  <c r="T12" i="23"/>
  <c r="L12" i="23"/>
  <c r="AG11" i="23"/>
  <c r="AG18" i="23" s="1"/>
  <c r="C18" i="22"/>
  <c r="D18" i="22"/>
  <c r="E18" i="22"/>
  <c r="F18" i="22"/>
  <c r="G18" i="22"/>
  <c r="H18" i="22"/>
  <c r="I18" i="22"/>
  <c r="B18" i="22"/>
  <c r="AC12" i="22"/>
  <c r="AD12" i="22"/>
  <c r="J26" i="22"/>
  <c r="K25" i="22"/>
  <c r="J25" i="22"/>
  <c r="D25" i="22"/>
  <c r="K24" i="22"/>
  <c r="J24" i="22"/>
  <c r="AF18" i="22"/>
  <c r="AD18" i="22"/>
  <c r="AC18" i="22"/>
  <c r="AB18" i="22"/>
  <c r="AA18" i="22"/>
  <c r="Z20" i="22" s="1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N20" i="22" s="1"/>
  <c r="M18" i="22"/>
  <c r="L18" i="22"/>
  <c r="K18" i="22"/>
  <c r="J18" i="22"/>
  <c r="AG11" i="22"/>
  <c r="AG18" i="22" s="1"/>
  <c r="AM29" i="20"/>
  <c r="AH28" i="20"/>
  <c r="AG28" i="20"/>
  <c r="AF28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D24" i="20"/>
  <c r="E24" i="20" s="1"/>
  <c r="F24" i="20" s="1"/>
  <c r="G24" i="20" s="1"/>
  <c r="H24" i="20" s="1"/>
  <c r="I24" i="20" s="1"/>
  <c r="J24" i="20" s="1"/>
  <c r="K24" i="20" s="1"/>
  <c r="L24" i="20" s="1"/>
  <c r="M24" i="20" s="1"/>
  <c r="N24" i="20" s="1"/>
  <c r="O24" i="20" s="1"/>
  <c r="P24" i="20" s="1"/>
  <c r="Q24" i="20" s="1"/>
  <c r="R24" i="20" s="1"/>
  <c r="S24" i="20" s="1"/>
  <c r="AM21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E16" i="20"/>
  <c r="F16" i="20" s="1"/>
  <c r="G16" i="20" s="1"/>
  <c r="H16" i="20" s="1"/>
  <c r="I16" i="20" s="1"/>
  <c r="J16" i="20" s="1"/>
  <c r="K16" i="20" s="1"/>
  <c r="L16" i="20" s="1"/>
  <c r="M16" i="20" s="1"/>
  <c r="N16" i="20" s="1"/>
  <c r="O16" i="20" s="1"/>
  <c r="P16" i="20" s="1"/>
  <c r="Q16" i="20" s="1"/>
  <c r="R16" i="20" s="1"/>
  <c r="S16" i="20" s="1"/>
  <c r="D16" i="20"/>
  <c r="AM13" i="20"/>
  <c r="C10" i="20"/>
  <c r="C12" i="20" s="1"/>
  <c r="D9" i="20"/>
  <c r="D10" i="20" s="1"/>
  <c r="D12" i="20" s="1"/>
  <c r="E19" i="16"/>
  <c r="G19" i="16" s="1"/>
  <c r="H19" i="16" s="1"/>
  <c r="I19" i="16" s="1"/>
  <c r="E18" i="16"/>
  <c r="G18" i="16" s="1"/>
  <c r="H18" i="16" s="1"/>
  <c r="I18" i="16" s="1"/>
  <c r="G16" i="16"/>
  <c r="H16" i="16" s="1"/>
  <c r="I16" i="16" s="1"/>
  <c r="E16" i="16"/>
  <c r="E15" i="16"/>
  <c r="G15" i="16" s="1"/>
  <c r="H15" i="16" s="1"/>
  <c r="I15" i="16" s="1"/>
  <c r="E14" i="16"/>
  <c r="G14" i="16" s="1"/>
  <c r="H14" i="16" s="1"/>
  <c r="I14" i="16" s="1"/>
  <c r="E13" i="16"/>
  <c r="G13" i="16" s="1"/>
  <c r="H13" i="16" s="1"/>
  <c r="I13" i="16" s="1"/>
  <c r="E12" i="16"/>
  <c r="G12" i="16" s="1"/>
  <c r="H12" i="16" s="1"/>
  <c r="I12" i="16" s="1"/>
  <c r="E11" i="16"/>
  <c r="G11" i="16" s="1"/>
  <c r="H11" i="16" s="1"/>
  <c r="I11" i="16" s="1"/>
  <c r="E10" i="16"/>
  <c r="G10" i="16" s="1"/>
  <c r="H10" i="16" s="1"/>
  <c r="I10" i="16" s="1"/>
  <c r="E9" i="16"/>
  <c r="G9" i="16" s="1"/>
  <c r="H9" i="16" s="1"/>
  <c r="I9" i="16" s="1"/>
  <c r="E8" i="16"/>
  <c r="G8" i="16" s="1"/>
  <c r="H8" i="16" s="1"/>
  <c r="I8" i="16" s="1"/>
  <c r="E7" i="16"/>
  <c r="G7" i="16" s="1"/>
  <c r="H7" i="16" s="1"/>
  <c r="I7" i="16" s="1"/>
  <c r="E6" i="16"/>
  <c r="G6" i="16" s="1"/>
  <c r="H6" i="16" s="1"/>
  <c r="I6" i="16" s="1"/>
  <c r="E5" i="16"/>
  <c r="H5" i="16" s="1"/>
  <c r="I5" i="16" s="1"/>
  <c r="Q9" i="15"/>
  <c r="I9" i="15"/>
  <c r="J9" i="15" s="1"/>
  <c r="Q8" i="15"/>
  <c r="I8" i="15"/>
  <c r="U6" i="15"/>
  <c r="Q6" i="15"/>
  <c r="R6" i="15" s="1"/>
  <c r="M6" i="15"/>
  <c r="N6" i="15" s="1"/>
  <c r="I6" i="15"/>
  <c r="B6" i="15"/>
  <c r="B15" i="15" s="1"/>
  <c r="F5" i="15"/>
  <c r="F6" i="15" s="1"/>
  <c r="D5" i="15"/>
  <c r="D6" i="15" s="1"/>
  <c r="C5" i="15"/>
  <c r="C6" i="15" s="1"/>
  <c r="B5" i="15"/>
  <c r="B10" i="15" s="1"/>
  <c r="B3" i="15"/>
  <c r="R9" i="15" s="1"/>
  <c r="E22" i="13"/>
  <c r="E21" i="13"/>
  <c r="U15" i="13"/>
  <c r="Q15" i="13"/>
  <c r="M15" i="13"/>
  <c r="I15" i="13"/>
  <c r="F15" i="13"/>
  <c r="K17" i="13" s="1"/>
  <c r="AG10" i="13"/>
  <c r="AF10" i="13"/>
  <c r="AE10" i="13" s="1"/>
  <c r="AD10" i="13" s="1"/>
  <c r="AC10" i="13" s="1"/>
  <c r="AB10" i="13" s="1"/>
  <c r="AA10" i="13" s="1"/>
  <c r="AA14" i="13" s="1"/>
  <c r="Y10" i="13"/>
  <c r="X10" i="13" s="1"/>
  <c r="W10" i="13" s="1"/>
  <c r="V10" i="13" s="1"/>
  <c r="U10" i="13" s="1"/>
  <c r="T10" i="13" s="1"/>
  <c r="S10" i="13" s="1"/>
  <c r="S14" i="13" s="1"/>
  <c r="Q10" i="13"/>
  <c r="P10" i="13"/>
  <c r="O10" i="13" s="1"/>
  <c r="N10" i="13" s="1"/>
  <c r="M10" i="13" s="1"/>
  <c r="L10" i="13" s="1"/>
  <c r="K10" i="13" s="1"/>
  <c r="K14" i="13" s="1"/>
  <c r="I10" i="13"/>
  <c r="H10" i="13" s="1"/>
  <c r="G10" i="13" s="1"/>
  <c r="F10" i="13" s="1"/>
  <c r="E10" i="13" s="1"/>
  <c r="D10" i="13" s="1"/>
  <c r="C10" i="13" s="1"/>
  <c r="C14" i="13" s="1"/>
  <c r="AH7" i="13"/>
  <c r="AG8" i="13" s="1"/>
  <c r="AD17" i="13" s="1"/>
  <c r="AE7" i="13"/>
  <c r="AF7" i="13" s="1"/>
  <c r="AD8" i="13" s="1"/>
  <c r="AE17" i="13" s="1"/>
  <c r="AB7" i="13"/>
  <c r="AC7" i="13" s="1"/>
  <c r="C6" i="13"/>
  <c r="E18" i="14"/>
  <c r="E17" i="14"/>
  <c r="AG8" i="14"/>
  <c r="AF8" i="14" s="1"/>
  <c r="AE8" i="14" s="1"/>
  <c r="AD8" i="14" s="1"/>
  <c r="AC8" i="14" s="1"/>
  <c r="AB8" i="14" s="1"/>
  <c r="AA8" i="14" s="1"/>
  <c r="AA10" i="14" s="1"/>
  <c r="AA9" i="14" s="1"/>
  <c r="Y8" i="14"/>
  <c r="X8" i="14" s="1"/>
  <c r="W8" i="14" s="1"/>
  <c r="V8" i="14" s="1"/>
  <c r="U8" i="14" s="1"/>
  <c r="T8" i="14" s="1"/>
  <c r="S8" i="14" s="1"/>
  <c r="S10" i="14" s="1"/>
  <c r="S9" i="14" s="1"/>
  <c r="Q8" i="14"/>
  <c r="P8" i="14" s="1"/>
  <c r="O8" i="14" s="1"/>
  <c r="N8" i="14" s="1"/>
  <c r="M8" i="14" s="1"/>
  <c r="L8" i="14" s="1"/>
  <c r="K8" i="14" s="1"/>
  <c r="K10" i="14" s="1"/>
  <c r="K9" i="14" s="1"/>
  <c r="I8" i="14"/>
  <c r="H8" i="14" s="1"/>
  <c r="G8" i="14" s="1"/>
  <c r="F8" i="14" s="1"/>
  <c r="E8" i="14" s="1"/>
  <c r="D8" i="14" s="1"/>
  <c r="C8" i="14" s="1"/>
  <c r="G7" i="14"/>
  <c r="AH5" i="14"/>
  <c r="AG6" i="14" s="1"/>
  <c r="AD12" i="14" s="1"/>
  <c r="AE5" i="14"/>
  <c r="AF5" i="14" s="1"/>
  <c r="AB5" i="14"/>
  <c r="AC5" i="14" s="1"/>
  <c r="AA6" i="14" s="1"/>
  <c r="AF12" i="14" s="1"/>
  <c r="C4" i="14"/>
  <c r="B20" i="37" l="1"/>
  <c r="B12" i="37"/>
  <c r="AD20" i="37"/>
  <c r="L28" i="37"/>
  <c r="L27" i="37"/>
  <c r="C10" i="14"/>
  <c r="C9" i="14" s="1"/>
  <c r="U25" i="23"/>
  <c r="V20" i="26"/>
  <c r="D12" i="29"/>
  <c r="B12" i="32"/>
  <c r="AD6" i="14"/>
  <c r="AE12" i="14" s="1"/>
  <c r="K19" i="13"/>
  <c r="J8" i="15"/>
  <c r="E9" i="20"/>
  <c r="F9" i="20" s="1"/>
  <c r="J20" i="23"/>
  <c r="J20" i="26"/>
  <c r="Z20" i="26"/>
  <c r="D12" i="26"/>
  <c r="R20" i="27"/>
  <c r="AD25" i="28"/>
  <c r="Z10" i="28" s="1"/>
  <c r="R20" i="29"/>
  <c r="J20" i="32"/>
  <c r="Z20" i="32"/>
  <c r="X12" i="23"/>
  <c r="X25" i="23" s="1"/>
  <c r="J20" i="24"/>
  <c r="R20" i="24"/>
  <c r="Z20" i="24"/>
  <c r="AE24" i="24"/>
  <c r="X12" i="24"/>
  <c r="X25" i="24" s="1"/>
  <c r="AD25" i="24" s="1"/>
  <c r="AE25" i="24" s="1"/>
  <c r="Z10" i="24" s="1"/>
  <c r="AD26" i="26"/>
  <c r="G12" i="27"/>
  <c r="V20" i="28"/>
  <c r="N20" i="31"/>
  <c r="V20" i="31"/>
  <c r="G12" i="28"/>
  <c r="D12" i="30"/>
  <c r="J20" i="25"/>
  <c r="R20" i="25"/>
  <c r="Z20" i="25"/>
  <c r="AD25" i="27"/>
  <c r="Z10" i="27" s="1"/>
  <c r="N20" i="28"/>
  <c r="AD26" i="28"/>
  <c r="AD25" i="29"/>
  <c r="Z10" i="29" s="1"/>
  <c r="J20" i="30"/>
  <c r="Z20" i="30"/>
  <c r="R20" i="32"/>
  <c r="J20" i="22"/>
  <c r="R20" i="22"/>
  <c r="G12" i="26"/>
  <c r="N20" i="27"/>
  <c r="AD20" i="27"/>
  <c r="V20" i="29"/>
  <c r="R20" i="30"/>
  <c r="AD25" i="32"/>
  <c r="Z10" i="32" s="1"/>
  <c r="V20" i="23"/>
  <c r="AD26" i="29"/>
  <c r="AD26" i="32"/>
  <c r="V20" i="24"/>
  <c r="N20" i="26"/>
  <c r="AD26" i="27"/>
  <c r="L27" i="27" s="1"/>
  <c r="J20" i="28"/>
  <c r="R20" i="28"/>
  <c r="Z20" i="28"/>
  <c r="J20" i="31"/>
  <c r="R20" i="31"/>
  <c r="Z20" i="31"/>
  <c r="N20" i="24"/>
  <c r="N20" i="25"/>
  <c r="V20" i="25"/>
  <c r="J20" i="27"/>
  <c r="Z20" i="27"/>
  <c r="V20" i="30"/>
  <c r="AD26" i="31"/>
  <c r="L28" i="31" s="1"/>
  <c r="G12" i="32"/>
  <c r="G12" i="31"/>
  <c r="D12" i="31"/>
  <c r="AD20" i="31"/>
  <c r="G12" i="30"/>
  <c r="G12" i="29"/>
  <c r="D12" i="28"/>
  <c r="L27" i="32"/>
  <c r="L28" i="32"/>
  <c r="AD20" i="32"/>
  <c r="L27" i="31"/>
  <c r="AD25" i="31"/>
  <c r="Z10" i="31" s="1"/>
  <c r="AD25" i="30"/>
  <c r="Z10" i="30" s="1"/>
  <c r="AD20" i="30"/>
  <c r="L27" i="29"/>
  <c r="L28" i="29"/>
  <c r="AD20" i="29"/>
  <c r="L27" i="28"/>
  <c r="L28" i="28"/>
  <c r="AD20" i="28"/>
  <c r="AD25" i="26"/>
  <c r="Z10" i="26" s="1"/>
  <c r="J28" i="26"/>
  <c r="J27" i="26"/>
  <c r="AD20" i="26"/>
  <c r="G12" i="25"/>
  <c r="AD20" i="25"/>
  <c r="AE25" i="25"/>
  <c r="Z10" i="25" s="1"/>
  <c r="G12" i="24"/>
  <c r="AD20" i="24"/>
  <c r="Z20" i="23"/>
  <c r="AE24" i="23"/>
  <c r="AB12" i="23"/>
  <c r="AB25" i="23" s="1"/>
  <c r="N20" i="23"/>
  <c r="P12" i="23"/>
  <c r="P25" i="23" s="1"/>
  <c r="AD20" i="23"/>
  <c r="V20" i="22"/>
  <c r="AC25" i="22"/>
  <c r="AB12" i="22"/>
  <c r="AA12" i="22" s="1"/>
  <c r="AA25" i="22" s="1"/>
  <c r="AD25" i="22"/>
  <c r="AD20" i="22"/>
  <c r="S17" i="20"/>
  <c r="S19" i="20" s="1"/>
  <c r="T16" i="20"/>
  <c r="G9" i="20"/>
  <c r="F10" i="20"/>
  <c r="F12" i="20" s="1"/>
  <c r="S25" i="20"/>
  <c r="S27" i="20" s="1"/>
  <c r="T24" i="20"/>
  <c r="E10" i="20"/>
  <c r="E12" i="20" s="1"/>
  <c r="F7" i="15"/>
  <c r="F14" i="15" s="1"/>
  <c r="F15" i="15"/>
  <c r="D15" i="15"/>
  <c r="D7" i="15"/>
  <c r="D14" i="15" s="1"/>
  <c r="C15" i="15"/>
  <c r="C7" i="15"/>
  <c r="C14" i="15" s="1"/>
  <c r="F9" i="15"/>
  <c r="F12" i="15" s="1"/>
  <c r="F13" i="15" s="1"/>
  <c r="F10" i="15"/>
  <c r="D9" i="15"/>
  <c r="D12" i="15" s="1"/>
  <c r="D13" i="15" s="1"/>
  <c r="D10" i="15"/>
  <c r="J6" i="15"/>
  <c r="C9" i="15"/>
  <c r="C12" i="15" s="1"/>
  <c r="C13" i="15" s="1"/>
  <c r="C10" i="15"/>
  <c r="B7" i="15"/>
  <c r="B14" i="15" s="1"/>
  <c r="B9" i="15"/>
  <c r="B12" i="15" s="1"/>
  <c r="B13" i="15" s="1"/>
  <c r="V6" i="15"/>
  <c r="R8" i="15"/>
  <c r="AA12" i="13"/>
  <c r="AA11" i="13" s="1"/>
  <c r="AA13" i="13"/>
  <c r="C13" i="13"/>
  <c r="C12" i="13"/>
  <c r="C11" i="13" s="1"/>
  <c r="S13" i="13"/>
  <c r="S12" i="13"/>
  <c r="S11" i="13" s="1"/>
  <c r="O12" i="13"/>
  <c r="O11" i="13" s="1"/>
  <c r="K13" i="13"/>
  <c r="K12" i="13"/>
  <c r="K11" i="13" s="1"/>
  <c r="AA8" i="13"/>
  <c r="AF17" i="13" s="1"/>
  <c r="K18" i="13"/>
  <c r="H7" i="14"/>
  <c r="I7" i="14" s="1"/>
  <c r="J7" i="14" s="1"/>
  <c r="K7" i="14" s="1"/>
  <c r="L7" i="14" s="1"/>
  <c r="M7" i="14" s="1"/>
  <c r="N7" i="14" s="1"/>
  <c r="O7" i="14" s="1"/>
  <c r="P7" i="14" s="1"/>
  <c r="Q7" i="14" s="1"/>
  <c r="R7" i="14" s="1"/>
  <c r="S7" i="14" s="1"/>
  <c r="T7" i="14" s="1"/>
  <c r="U7" i="14" s="1"/>
  <c r="V7" i="14" s="1"/>
  <c r="W7" i="14" s="1"/>
  <c r="X7" i="14" s="1"/>
  <c r="M28" i="37" l="1"/>
  <c r="M27" i="37"/>
  <c r="L28" i="27"/>
  <c r="K15" i="14"/>
  <c r="M27" i="32"/>
  <c r="M28" i="32"/>
  <c r="M27" i="31"/>
  <c r="M28" i="31"/>
  <c r="M27" i="29"/>
  <c r="M28" i="29"/>
  <c r="M27" i="28"/>
  <c r="M28" i="28"/>
  <c r="M27" i="27"/>
  <c r="M28" i="27"/>
  <c r="K28" i="26"/>
  <c r="K27" i="26"/>
  <c r="AD25" i="23"/>
  <c r="AE25" i="23" s="1"/>
  <c r="Z10" i="23" s="1"/>
  <c r="Z12" i="22"/>
  <c r="Z25" i="22" s="1"/>
  <c r="AB25" i="22"/>
  <c r="T25" i="20"/>
  <c r="T27" i="20" s="1"/>
  <c r="U24" i="20"/>
  <c r="T17" i="20"/>
  <c r="T19" i="20" s="1"/>
  <c r="U16" i="20"/>
  <c r="G10" i="20"/>
  <c r="G12" i="20" s="1"/>
  <c r="H9" i="20"/>
  <c r="G12" i="13"/>
  <c r="G11" i="13" s="1"/>
  <c r="AE12" i="13"/>
  <c r="AE11" i="13" s="1"/>
  <c r="W12" i="13"/>
  <c r="W11" i="13" s="1"/>
  <c r="N27" i="37" l="1"/>
  <c r="N28" i="37"/>
  <c r="N28" i="32"/>
  <c r="N27" i="32"/>
  <c r="N28" i="31"/>
  <c r="N27" i="31"/>
  <c r="N28" i="29"/>
  <c r="N27" i="29"/>
  <c r="N28" i="28"/>
  <c r="N27" i="28"/>
  <c r="N28" i="27"/>
  <c r="N27" i="27"/>
  <c r="L28" i="26"/>
  <c r="L27" i="26"/>
  <c r="Y12" i="22"/>
  <c r="X12" i="22" s="1"/>
  <c r="H10" i="20"/>
  <c r="H12" i="20" s="1"/>
  <c r="I9" i="20"/>
  <c r="U25" i="20"/>
  <c r="U27" i="20" s="1"/>
  <c r="V24" i="20"/>
  <c r="V16" i="20"/>
  <c r="U17" i="20"/>
  <c r="U19" i="20" s="1"/>
  <c r="O27" i="37" l="1"/>
  <c r="O28" i="37"/>
  <c r="O28" i="32"/>
  <c r="O27" i="32"/>
  <c r="O28" i="31"/>
  <c r="O27" i="31"/>
  <c r="O28" i="29"/>
  <c r="O27" i="29"/>
  <c r="O28" i="28"/>
  <c r="O27" i="28"/>
  <c r="O28" i="27"/>
  <c r="O27" i="27"/>
  <c r="M28" i="26"/>
  <c r="M27" i="26"/>
  <c r="Y25" i="22"/>
  <c r="X25" i="22"/>
  <c r="W12" i="22"/>
  <c r="V17" i="20"/>
  <c r="V19" i="20" s="1"/>
  <c r="W16" i="20"/>
  <c r="I10" i="20"/>
  <c r="I12" i="20" s="1"/>
  <c r="J9" i="20"/>
  <c r="V25" i="20"/>
  <c r="V27" i="20" s="1"/>
  <c r="W24" i="20"/>
  <c r="P28" i="37" l="1"/>
  <c r="P27" i="37"/>
  <c r="P27" i="32"/>
  <c r="P28" i="32"/>
  <c r="P27" i="31"/>
  <c r="P28" i="31"/>
  <c r="P27" i="29"/>
  <c r="P28" i="29"/>
  <c r="P27" i="28"/>
  <c r="P28" i="28"/>
  <c r="P27" i="27"/>
  <c r="P28" i="27"/>
  <c r="N28" i="26"/>
  <c r="N27" i="26"/>
  <c r="W25" i="22"/>
  <c r="V12" i="22"/>
  <c r="W25" i="20"/>
  <c r="W27" i="20" s="1"/>
  <c r="X24" i="20"/>
  <c r="X16" i="20"/>
  <c r="W17" i="20"/>
  <c r="W19" i="20" s="1"/>
  <c r="K9" i="20"/>
  <c r="J10" i="20"/>
  <c r="J12" i="20" s="1"/>
  <c r="Q28" i="37" l="1"/>
  <c r="Q27" i="37"/>
  <c r="Q27" i="32"/>
  <c r="Q28" i="32"/>
  <c r="Q27" i="31"/>
  <c r="Q28" i="31"/>
  <c r="Q27" i="29"/>
  <c r="Q28" i="29"/>
  <c r="Q27" i="28"/>
  <c r="Q28" i="28"/>
  <c r="Q27" i="27"/>
  <c r="Q28" i="27"/>
  <c r="O28" i="26"/>
  <c r="O27" i="26"/>
  <c r="V25" i="22"/>
  <c r="U12" i="22"/>
  <c r="K10" i="20"/>
  <c r="K12" i="20" s="1"/>
  <c r="L9" i="20"/>
  <c r="X25" i="20"/>
  <c r="X27" i="20" s="1"/>
  <c r="Y24" i="20"/>
  <c r="Y16" i="20"/>
  <c r="X17" i="20"/>
  <c r="X19" i="20" s="1"/>
  <c r="R28" i="37" l="1"/>
  <c r="R27" i="37"/>
  <c r="R28" i="32"/>
  <c r="R27" i="32"/>
  <c r="R28" i="31"/>
  <c r="R27" i="31"/>
  <c r="R28" i="29"/>
  <c r="R27" i="29"/>
  <c r="R28" i="28"/>
  <c r="R27" i="28"/>
  <c r="R28" i="27"/>
  <c r="R27" i="27"/>
  <c r="P28" i="26"/>
  <c r="P27" i="26"/>
  <c r="T12" i="22"/>
  <c r="U25" i="22"/>
  <c r="Z24" i="20"/>
  <c r="Y25" i="20"/>
  <c r="Y27" i="20" s="1"/>
  <c r="L10" i="20"/>
  <c r="L12" i="20" s="1"/>
  <c r="M9" i="20"/>
  <c r="Y17" i="20"/>
  <c r="Y19" i="20" s="1"/>
  <c r="Z16" i="20"/>
  <c r="S28" i="37" l="1"/>
  <c r="S27" i="37"/>
  <c r="S28" i="32"/>
  <c r="S27" i="32"/>
  <c r="S28" i="31"/>
  <c r="S27" i="31"/>
  <c r="S28" i="29"/>
  <c r="S27" i="29"/>
  <c r="S28" i="28"/>
  <c r="S27" i="28"/>
  <c r="S28" i="27"/>
  <c r="S27" i="27"/>
  <c r="Q28" i="26"/>
  <c r="Q27" i="26"/>
  <c r="S12" i="22"/>
  <c r="T25" i="22"/>
  <c r="N9" i="20"/>
  <c r="M10" i="20"/>
  <c r="M12" i="20" s="1"/>
  <c r="AA24" i="20"/>
  <c r="Z25" i="20"/>
  <c r="Z27" i="20" s="1"/>
  <c r="Z17" i="20"/>
  <c r="Z19" i="20" s="1"/>
  <c r="AA16" i="20"/>
  <c r="T28" i="37" l="1"/>
  <c r="T27" i="37"/>
  <c r="T27" i="32"/>
  <c r="T28" i="32"/>
  <c r="T27" i="31"/>
  <c r="T28" i="31"/>
  <c r="T27" i="29"/>
  <c r="T28" i="29"/>
  <c r="T27" i="28"/>
  <c r="T28" i="28"/>
  <c r="T27" i="27"/>
  <c r="T28" i="27"/>
  <c r="R28" i="26"/>
  <c r="R27" i="26"/>
  <c r="R12" i="22"/>
  <c r="S25" i="22"/>
  <c r="AA25" i="20"/>
  <c r="AA27" i="20" s="1"/>
  <c r="AB24" i="20"/>
  <c r="O9" i="20"/>
  <c r="N10" i="20"/>
  <c r="N12" i="20" s="1"/>
  <c r="AA17" i="20"/>
  <c r="AA19" i="20" s="1"/>
  <c r="AB16" i="20"/>
  <c r="U28" i="37" l="1"/>
  <c r="U27" i="37"/>
  <c r="U27" i="32"/>
  <c r="U28" i="32"/>
  <c r="U27" i="31"/>
  <c r="U28" i="31"/>
  <c r="U27" i="29"/>
  <c r="U28" i="29"/>
  <c r="U27" i="28"/>
  <c r="U28" i="28"/>
  <c r="U27" i="27"/>
  <c r="U28" i="27"/>
  <c r="S28" i="26"/>
  <c r="S27" i="26"/>
  <c r="R25" i="22"/>
  <c r="Q12" i="22"/>
  <c r="O10" i="20"/>
  <c r="O12" i="20" s="1"/>
  <c r="P9" i="20"/>
  <c r="AB17" i="20"/>
  <c r="AB19" i="20" s="1"/>
  <c r="AC16" i="20"/>
  <c r="AB25" i="20"/>
  <c r="AB27" i="20" s="1"/>
  <c r="AC24" i="20"/>
  <c r="V27" i="37" l="1"/>
  <c r="V28" i="37"/>
  <c r="V28" i="32"/>
  <c r="V27" i="32"/>
  <c r="V28" i="31"/>
  <c r="V27" i="31"/>
  <c r="V28" i="29"/>
  <c r="V27" i="29"/>
  <c r="V28" i="28"/>
  <c r="V27" i="28"/>
  <c r="V28" i="27"/>
  <c r="V27" i="27"/>
  <c r="T28" i="26"/>
  <c r="T27" i="26"/>
  <c r="Q25" i="22"/>
  <c r="P12" i="22"/>
  <c r="P10" i="20"/>
  <c r="P12" i="20" s="1"/>
  <c r="Q9" i="20"/>
  <c r="AD16" i="20"/>
  <c r="AC17" i="20"/>
  <c r="AC19" i="20" s="1"/>
  <c r="AC25" i="20"/>
  <c r="AC27" i="20" s="1"/>
  <c r="AD24" i="20"/>
  <c r="W27" i="37" l="1"/>
  <c r="W28" i="37"/>
  <c r="W28" i="32"/>
  <c r="W27" i="32"/>
  <c r="W28" i="31"/>
  <c r="W27" i="31"/>
  <c r="W28" i="29"/>
  <c r="W27" i="29"/>
  <c r="W28" i="28"/>
  <c r="W27" i="28"/>
  <c r="W28" i="27"/>
  <c r="W27" i="27"/>
  <c r="U28" i="26"/>
  <c r="U27" i="26"/>
  <c r="O12" i="22"/>
  <c r="P25" i="22"/>
  <c r="Q10" i="20"/>
  <c r="Q12" i="20" s="1"/>
  <c r="R9" i="20"/>
  <c r="AD17" i="20"/>
  <c r="AD19" i="20" s="1"/>
  <c r="AE16" i="20"/>
  <c r="AD25" i="20"/>
  <c r="AD27" i="20" s="1"/>
  <c r="AE24" i="20"/>
  <c r="X28" i="37" l="1"/>
  <c r="X27" i="37"/>
  <c r="X27" i="32"/>
  <c r="X28" i="32"/>
  <c r="X27" i="31"/>
  <c r="X28" i="31"/>
  <c r="X27" i="29"/>
  <c r="X28" i="29"/>
  <c r="X27" i="28"/>
  <c r="X28" i="28"/>
  <c r="X27" i="27"/>
  <c r="X28" i="27"/>
  <c r="V28" i="26"/>
  <c r="V27" i="26"/>
  <c r="N12" i="22"/>
  <c r="M12" i="22" s="1"/>
  <c r="L12" i="22" s="1"/>
  <c r="O25" i="22"/>
  <c r="R10" i="20"/>
  <c r="R12" i="20" s="1"/>
  <c r="S9" i="20"/>
  <c r="AF16" i="20"/>
  <c r="AE17" i="20"/>
  <c r="AE19" i="20" s="1"/>
  <c r="AE25" i="20"/>
  <c r="AE27" i="20" s="1"/>
  <c r="AF24" i="20"/>
  <c r="Y28" i="37" l="1"/>
  <c r="Y27" i="37"/>
  <c r="Y27" i="32"/>
  <c r="Y28" i="32"/>
  <c r="Y27" i="31"/>
  <c r="Y28" i="31"/>
  <c r="Y27" i="29"/>
  <c r="Y28" i="29"/>
  <c r="Y27" i="28"/>
  <c r="Y28" i="28"/>
  <c r="Y27" i="27"/>
  <c r="Y28" i="27"/>
  <c r="W28" i="26"/>
  <c r="W27" i="26"/>
  <c r="N25" i="22"/>
  <c r="T9" i="20"/>
  <c r="S10" i="20"/>
  <c r="S12" i="20" s="1"/>
  <c r="AG16" i="20"/>
  <c r="AF17" i="20"/>
  <c r="AF19" i="20" s="1"/>
  <c r="AF25" i="20"/>
  <c r="AF27" i="20" s="1"/>
  <c r="AG24" i="20"/>
  <c r="Z28" i="37" l="1"/>
  <c r="Z27" i="37"/>
  <c r="Z28" i="32"/>
  <c r="Z27" i="32"/>
  <c r="Z28" i="31"/>
  <c r="Z27" i="31"/>
  <c r="Z28" i="29"/>
  <c r="Z27" i="29"/>
  <c r="Z28" i="28"/>
  <c r="Z27" i="28"/>
  <c r="Z28" i="27"/>
  <c r="Z27" i="27"/>
  <c r="X28" i="26"/>
  <c r="X27" i="26"/>
  <c r="M25" i="22"/>
  <c r="L25" i="22"/>
  <c r="AG17" i="20"/>
  <c r="AG19" i="20" s="1"/>
  <c r="AH16" i="20"/>
  <c r="T10" i="20"/>
  <c r="T12" i="20" s="1"/>
  <c r="U9" i="20"/>
  <c r="AH24" i="20"/>
  <c r="AG25" i="20"/>
  <c r="AG27" i="20" s="1"/>
  <c r="AA28" i="37" l="1"/>
  <c r="AA27" i="37"/>
  <c r="AA28" i="32"/>
  <c r="AA27" i="32"/>
  <c r="AA28" i="31"/>
  <c r="AA27" i="31"/>
  <c r="AA28" i="29"/>
  <c r="AA27" i="29"/>
  <c r="AA28" i="28"/>
  <c r="AA27" i="28"/>
  <c r="AA28" i="27"/>
  <c r="AA27" i="27"/>
  <c r="Y28" i="26"/>
  <c r="Y27" i="26"/>
  <c r="AE25" i="22"/>
  <c r="Z10" i="22" s="1"/>
  <c r="AJ24" i="20"/>
  <c r="AH25" i="20"/>
  <c r="AH27" i="20" s="1"/>
  <c r="AH17" i="20"/>
  <c r="AH19" i="20" s="1"/>
  <c r="AJ16" i="20"/>
  <c r="V9" i="20"/>
  <c r="U10" i="20"/>
  <c r="U12" i="20" s="1"/>
  <c r="AB28" i="37" l="1"/>
  <c r="AB27" i="37"/>
  <c r="AB27" i="32"/>
  <c r="AB28" i="32"/>
  <c r="AB27" i="31"/>
  <c r="AB28" i="31"/>
  <c r="AB27" i="29"/>
  <c r="AB28" i="29"/>
  <c r="AB27" i="28"/>
  <c r="AB28" i="28"/>
  <c r="AB27" i="27"/>
  <c r="AB28" i="27"/>
  <c r="Z28" i="26"/>
  <c r="Z27" i="26"/>
  <c r="W9" i="20"/>
  <c r="V10" i="20"/>
  <c r="V12" i="20" s="1"/>
  <c r="AJ25" i="20"/>
  <c r="AJ27" i="20" s="1"/>
  <c r="AK24" i="20"/>
  <c r="AJ17" i="20"/>
  <c r="AJ19" i="20" s="1"/>
  <c r="AK16" i="20"/>
  <c r="AC28" i="37" l="1"/>
  <c r="AC27" i="37"/>
  <c r="AC27" i="32"/>
  <c r="AC28" i="32"/>
  <c r="AC27" i="31"/>
  <c r="AC28" i="31"/>
  <c r="AC27" i="29"/>
  <c r="AC28" i="29"/>
  <c r="AC27" i="28"/>
  <c r="AC28" i="28"/>
  <c r="AC27" i="27"/>
  <c r="AC28" i="27"/>
  <c r="AA28" i="26"/>
  <c r="AA27" i="26"/>
  <c r="W10" i="20"/>
  <c r="W12" i="20" s="1"/>
  <c r="X9" i="20"/>
  <c r="AL16" i="20"/>
  <c r="AK17" i="20"/>
  <c r="AK19" i="20" s="1"/>
  <c r="AK25" i="20"/>
  <c r="AK27" i="20" s="1"/>
  <c r="AL24" i="20"/>
  <c r="AB28" i="26" l="1"/>
  <c r="AB27" i="26"/>
  <c r="AM16" i="20"/>
  <c r="AL17" i="20"/>
  <c r="AL19" i="20" s="1"/>
  <c r="X10" i="20"/>
  <c r="X12" i="20" s="1"/>
  <c r="Y9" i="20"/>
  <c r="AL25" i="20"/>
  <c r="AL27" i="20" s="1"/>
  <c r="AM24" i="20"/>
  <c r="AC28" i="26" l="1"/>
  <c r="AC27" i="26"/>
  <c r="AM17" i="20"/>
  <c r="AM19" i="20" s="1"/>
  <c r="AN16" i="20"/>
  <c r="Y10" i="20"/>
  <c r="Y12" i="20" s="1"/>
  <c r="Z9" i="20"/>
  <c r="AM25" i="20"/>
  <c r="AM27" i="20" s="1"/>
  <c r="AN24" i="20"/>
  <c r="AO16" i="20" l="1"/>
  <c r="AN17" i="20"/>
  <c r="AN19" i="20" s="1"/>
  <c r="AA9" i="20"/>
  <c r="Z10" i="20"/>
  <c r="Z12" i="20" s="1"/>
  <c r="AN25" i="20"/>
  <c r="AN27" i="20" s="1"/>
  <c r="AO24" i="20"/>
  <c r="AP16" i="20" l="1"/>
  <c r="AP17" i="20" s="1"/>
  <c r="AP19" i="20" s="1"/>
  <c r="AO17" i="20"/>
  <c r="AO19" i="20" s="1"/>
  <c r="AA10" i="20"/>
  <c r="AA12" i="20" s="1"/>
  <c r="AB9" i="20"/>
  <c r="AO25" i="20"/>
  <c r="AO27" i="20" s="1"/>
  <c r="AP24" i="20"/>
  <c r="AP25" i="20" s="1"/>
  <c r="AP27" i="20" s="1"/>
  <c r="AC21" i="20" l="1"/>
  <c r="AB10" i="20"/>
  <c r="AB12" i="20" s="1"/>
  <c r="AC9" i="20"/>
  <c r="AC29" i="20"/>
  <c r="AD9" i="20" l="1"/>
  <c r="AC10" i="20"/>
  <c r="AC12" i="20" s="1"/>
  <c r="AE9" i="20" l="1"/>
  <c r="AD10" i="20"/>
  <c r="AD12" i="20" s="1"/>
  <c r="AE10" i="20" l="1"/>
  <c r="AE12" i="20" s="1"/>
  <c r="AF9" i="20"/>
  <c r="AF10" i="20" l="1"/>
  <c r="AF12" i="20" s="1"/>
  <c r="AG9" i="20"/>
  <c r="AG10" i="20" l="1"/>
  <c r="AG12" i="20" s="1"/>
  <c r="AH9" i="20"/>
  <c r="AH10" i="20" l="1"/>
  <c r="AH12" i="20" s="1"/>
  <c r="AJ9" i="20"/>
  <c r="AK9" i="20" l="1"/>
  <c r="AJ10" i="20"/>
  <c r="AJ12" i="20" s="1"/>
  <c r="AK10" i="20" l="1"/>
  <c r="AK12" i="20" s="1"/>
  <c r="AL9" i="20"/>
  <c r="AM9" i="20" l="1"/>
  <c r="AL10" i="20"/>
  <c r="AL12" i="20" s="1"/>
  <c r="AN9" i="20" l="1"/>
  <c r="AM10" i="20"/>
  <c r="AM12" i="20" s="1"/>
  <c r="AN10" i="20" l="1"/>
  <c r="AN12" i="20" s="1"/>
  <c r="AO9" i="20"/>
  <c r="AO10" i="20" l="1"/>
  <c r="AO12" i="20" s="1"/>
  <c r="AP9" i="20"/>
  <c r="AP10" i="20" s="1"/>
  <c r="AP12" i="20" s="1"/>
  <c r="AC13" i="20" l="1"/>
</calcChain>
</file>

<file path=xl/sharedStrings.xml><?xml version="1.0" encoding="utf-8"?>
<sst xmlns="http://schemas.openxmlformats.org/spreadsheetml/2006/main" count="1048" uniqueCount="464">
  <si>
    <t>Rang</t>
  </si>
  <si>
    <t>SDI</t>
  </si>
  <si>
    <t>Magnetic Heading (Cap magnétique)</t>
  </si>
  <si>
    <t>Type : BNR</t>
  </si>
  <si>
    <t>Rate : 50 ms</t>
  </si>
  <si>
    <t>Unit : degré</t>
  </si>
  <si>
    <t>BIN</t>
  </si>
  <si>
    <t>Trame émise</t>
  </si>
  <si>
    <t>DATA</t>
  </si>
  <si>
    <t>-/+</t>
  </si>
  <si>
    <t>P</t>
  </si>
  <si>
    <t>SSM</t>
  </si>
  <si>
    <t xml:space="preserve">SSM : </t>
  </si>
  <si>
    <t>Failure warning</t>
  </si>
  <si>
    <t>No computer data</t>
  </si>
  <si>
    <t>Functional test</t>
  </si>
  <si>
    <t>Normal operation</t>
  </si>
  <si>
    <t>P :</t>
  </si>
  <si>
    <t>Parity = ODD</t>
  </si>
  <si>
    <t>Octal</t>
  </si>
  <si>
    <t>= minus</t>
  </si>
  <si>
    <t>= plus</t>
  </si>
  <si>
    <t>Vertical Speed (Vitesse verticale)</t>
  </si>
  <si>
    <t>Unit : feet/min</t>
  </si>
  <si>
    <t>Rate : 100 ms</t>
  </si>
  <si>
    <t>Unit : Knots</t>
  </si>
  <si>
    <t>Roll Angle (angle ...)</t>
  </si>
  <si>
    <t>Unit : Degres</t>
  </si>
  <si>
    <t>Bearing (cap ...)</t>
  </si>
  <si>
    <t>Pitch Angle (angle ...)</t>
  </si>
  <si>
    <t>Altitude</t>
  </si>
  <si>
    <t>Unit : feet</t>
  </si>
  <si>
    <t>VHF</t>
  </si>
  <si>
    <t>Type : BCD</t>
  </si>
  <si>
    <t>Unit : MHz</t>
  </si>
  <si>
    <t>Resolution : 0.05 MHz</t>
  </si>
  <si>
    <t>Rate : 200 ms</t>
  </si>
  <si>
    <t>Plus, North, East, Right, To, Above</t>
  </si>
  <si>
    <t>Minus, South, West, Left, From, Below</t>
  </si>
  <si>
    <t>0.1</t>
  </si>
  <si>
    <t>0.01</t>
  </si>
  <si>
    <t>Hexa</t>
  </si>
  <si>
    <t>DME Distance</t>
  </si>
  <si>
    <t>Unit : NM (Nautic Miles, 1NM = 1852 m)</t>
  </si>
  <si>
    <t>Label</t>
  </si>
  <si>
    <t xml:space="preserve">Label </t>
  </si>
  <si>
    <t>Range : 108.0 to 117.95</t>
  </si>
  <si>
    <t>Range : 0 to 511.999</t>
  </si>
  <si>
    <t>Range : -8192.0 to 8191.875</t>
  </si>
  <si>
    <t>Resolution : 0.125 feet</t>
  </si>
  <si>
    <t>Range : -180 to 179.989</t>
  </si>
  <si>
    <t>Resolution : 0.011 deg</t>
  </si>
  <si>
    <t>Range : -180 to 179.9560</t>
  </si>
  <si>
    <t>Resolution : 0.044 deg</t>
  </si>
  <si>
    <t>Range : 0 to 4095.875</t>
  </si>
  <si>
    <t>Resolution : 0.125 Knots</t>
  </si>
  <si>
    <t>Range : -32768 to 32767.75</t>
  </si>
  <si>
    <t>Resolution : 0.25 feet/min</t>
  </si>
  <si>
    <t>Range : -180.0 à 179.9945</t>
  </si>
  <si>
    <t>Resolution : 0.0055 deg</t>
  </si>
  <si>
    <t>True Air Speed (Vitesse vraie)</t>
  </si>
  <si>
    <t>ARINC 429 Labels</t>
  </si>
  <si>
    <t>DDRMI A300-600</t>
  </si>
  <si>
    <t>PHENELIX</t>
  </si>
  <si>
    <t>This is my collection of ARINC 429 labels. I can't afford to buy the CD from ARINC for $500 that has the labels on it, so I am slowly collecting the labels as I find them and as I learn about their function.</t>
  </si>
  <si>
    <t>Label Octal</t>
  </si>
  <si>
    <t>Label Description</t>
  </si>
  <si>
    <t>Vitesse 12,5kHz / 100 kHz</t>
  </si>
  <si>
    <t>Unité</t>
  </si>
  <si>
    <t>Repeat Rate</t>
  </si>
  <si>
    <t>Label Format</t>
  </si>
  <si>
    <t>Sign</t>
  </si>
  <si>
    <t>Bit</t>
  </si>
  <si>
    <t>Range</t>
  </si>
  <si>
    <t>Resolution</t>
  </si>
  <si>
    <t>Label Value Base</t>
  </si>
  <si>
    <t>001 </t>
  </si>
  <si>
    <t>Distance To Go </t>
  </si>
  <si>
    <t>BNR </t>
  </si>
  <si>
    <t>012 </t>
  </si>
  <si>
    <t>Ground Speed </t>
  </si>
  <si>
    <t>024</t>
  </si>
  <si>
    <t>Course 1 VOR</t>
  </si>
  <si>
    <t>BCD</t>
  </si>
  <si>
    <t>027</t>
  </si>
  <si>
    <t>Course 2 VOR</t>
  </si>
  <si>
    <t>030</t>
  </si>
  <si>
    <t>VHF FREQUENCY</t>
  </si>
  <si>
    <t>LOW</t>
  </si>
  <si>
    <t>MHz</t>
  </si>
  <si>
    <t>200ms</t>
  </si>
  <si>
    <t>NO</t>
  </si>
  <si>
    <t>108,0 a 117,95 MHz</t>
  </si>
  <si>
    <t>0,05MHz</t>
  </si>
  <si>
    <t>035</t>
  </si>
  <si>
    <t>freq DME</t>
  </si>
  <si>
    <t>125ms</t>
  </si>
  <si>
    <t>076</t>
  </si>
  <si>
    <t>ALTITUDE</t>
  </si>
  <si>
    <t>Feet</t>
  </si>
  <si>
    <t>100ms</t>
  </si>
  <si>
    <t>YES</t>
  </si>
  <si>
    <t>0,125 feet</t>
  </si>
  <si>
    <t>100 </t>
  </si>
  <si>
    <t>Selected Radial on VOR </t>
  </si>
  <si>
    <t>101 </t>
  </si>
  <si>
    <t>Heading Select </t>
  </si>
  <si>
    <t>102 </t>
  </si>
  <si>
    <t>Selected Altitude </t>
  </si>
  <si>
    <t>NO </t>
  </si>
  <si>
    <t>12 </t>
  </si>
  <si>
    <t>LSB is 16ft </t>
  </si>
  <si>
    <t>104 </t>
  </si>
  <si>
    <t>Selected Altitude Rate </t>
  </si>
  <si>
    <t>YES </t>
  </si>
  <si>
    <t>9 </t>
  </si>
  <si>
    <t>LSB 32ft/min </t>
  </si>
  <si>
    <t>105 </t>
  </si>
  <si>
    <t>QFU </t>
  </si>
  <si>
    <t>QFU</t>
  </si>
  <si>
    <t>LATITUDE</t>
  </si>
  <si>
    <t>radian</t>
  </si>
  <si>
    <t>500ms</t>
  </si>
  <si>
    <t>Pi = 180°</t>
  </si>
  <si>
    <t>1,46e-9 radian</t>
  </si>
  <si>
    <t>Nord 0 ou Sud1-</t>
  </si>
  <si>
    <t>LONGITUDE</t>
  </si>
  <si>
    <t>EAST 0 ou West1-</t>
  </si>
  <si>
    <t>114 </t>
  </si>
  <si>
    <t>Selected Airspeed/Mach </t>
  </si>
  <si>
    <t>LSB is 0.5kt or 0.004M </t>
  </si>
  <si>
    <t>116 </t>
  </si>
  <si>
    <t>Cross Track Distance </t>
  </si>
  <si>
    <t>117 </t>
  </si>
  <si>
    <t>NAV Vertical Deviation </t>
  </si>
  <si>
    <t>Latitude FINE</t>
  </si>
  <si>
    <t>Pi</t>
  </si>
  <si>
    <t>Longitude FINE</t>
  </si>
  <si>
    <t>140 </t>
  </si>
  <si>
    <t>Flight Director Yaw Command </t>
  </si>
  <si>
    <t>141 </t>
  </si>
  <si>
    <t>Flight Director Roll Command </t>
  </si>
  <si>
    <t>LEFT Wing Fuel Quantity Dsplay</t>
  </si>
  <si>
    <t>LBS</t>
  </si>
  <si>
    <t>BNR</t>
  </si>
  <si>
    <t>142 </t>
  </si>
  <si>
    <t>Fast/Slow Indicator </t>
  </si>
  <si>
    <t>143 </t>
  </si>
  <si>
    <t>Flight Director Pitch Command </t>
  </si>
  <si>
    <t>162 </t>
  </si>
  <si>
    <t>ADF1 </t>
  </si>
  <si>
    <t xml:space="preserve">Density </t>
  </si>
  <si>
    <t>100 k</t>
  </si>
  <si>
    <t>62,5 ms</t>
  </si>
  <si>
    <t>BEARING</t>
  </si>
  <si>
    <t>Deg Mag</t>
  </si>
  <si>
    <t>50ms</t>
  </si>
  <si>
    <t>0,044°</t>
  </si>
  <si>
    <t>LSB = 0,044°</t>
  </si>
  <si>
    <t>173 </t>
  </si>
  <si>
    <t>Localizer </t>
  </si>
  <si>
    <t>LOC</t>
  </si>
  <si>
    <t>DDM</t>
  </si>
  <si>
    <t>174 </t>
  </si>
  <si>
    <t>Glide Slope </t>
  </si>
  <si>
    <t>GLIDE</t>
  </si>
  <si>
    <t>DME</t>
  </si>
  <si>
    <t>NM</t>
  </si>
  <si>
    <t>LSB 0,0009765 NM = 1,852 m</t>
  </si>
  <si>
    <t>Pressure Altitude</t>
  </si>
  <si>
    <t>QNE</t>
  </si>
  <si>
    <t>100k</t>
  </si>
  <si>
    <t>Baro Altitude</t>
  </si>
  <si>
    <t>205 </t>
  </si>
  <si>
    <t>Mach Airspeed </t>
  </si>
  <si>
    <t>M</t>
  </si>
  <si>
    <t>Mach</t>
  </si>
  <si>
    <t>10 </t>
  </si>
  <si>
    <t>LSB 2048/512M </t>
  </si>
  <si>
    <t>206 </t>
  </si>
  <si>
    <t>Indicated Airspeed </t>
  </si>
  <si>
    <t>IAS</t>
  </si>
  <si>
    <t>Knots</t>
  </si>
  <si>
    <t>LSB 1023/512kt </t>
  </si>
  <si>
    <t>210 </t>
  </si>
  <si>
    <t>True Airspeed </t>
  </si>
  <si>
    <t>TAS</t>
  </si>
  <si>
    <t>0,125KT</t>
  </si>
  <si>
    <t>Total Air Temp</t>
  </si>
  <si>
    <t>TAT</t>
  </si>
  <si>
    <t>degC</t>
  </si>
  <si>
    <t>212 </t>
  </si>
  <si>
    <t>Barometric Altitude Rate / vertical speed</t>
  </si>
  <si>
    <t>Vz</t>
  </si>
  <si>
    <t>FPM</t>
  </si>
  <si>
    <t>0,25FPM</t>
  </si>
  <si>
    <t>Static Air Temp</t>
  </si>
  <si>
    <t>SAT</t>
  </si>
  <si>
    <t>222 </t>
  </si>
  <si>
    <t>Omnibearing on VOR </t>
  </si>
  <si>
    <t>deg</t>
  </si>
  <si>
    <t>75ms</t>
  </si>
  <si>
    <t>Baro Setting</t>
  </si>
  <si>
    <t>inHg</t>
  </si>
  <si>
    <t>Total Fuel Flow</t>
  </si>
  <si>
    <t>Lb/hr</t>
  </si>
  <si>
    <t>270 </t>
  </si>
  <si>
    <t>Alert and To-From Bitfield </t>
  </si>
  <si>
    <t>312 </t>
  </si>
  <si>
    <t>GS</t>
  </si>
  <si>
    <t>LSB 1024/512kt  </t>
  </si>
  <si>
    <t>313 </t>
  </si>
  <si>
    <t>True Track Angle </t>
  </si>
  <si>
    <t>LSB 90/512º </t>
  </si>
  <si>
    <t>314 </t>
  </si>
  <si>
    <t>True Heading </t>
  </si>
  <si>
    <t>Wind Speed</t>
  </si>
  <si>
    <t>Win Direction</t>
  </si>
  <si>
    <t>Deg True</t>
  </si>
  <si>
    <t>320 </t>
  </si>
  <si>
    <t>Magnetic Heading </t>
  </si>
  <si>
    <t>Cap</t>
  </si>
  <si>
    <t>321 </t>
  </si>
  <si>
    <t>Drift </t>
  </si>
  <si>
    <t>324 </t>
  </si>
  <si>
    <t>Pitch Angle</t>
  </si>
  <si>
    <t>PITCH</t>
  </si>
  <si>
    <t>Deg</t>
  </si>
  <si>
    <t>325 </t>
  </si>
  <si>
    <t>Roll Angle </t>
  </si>
  <si>
    <t>ROLL</t>
  </si>
  <si>
    <t>335 </t>
  </si>
  <si>
    <t>Track Rate Angle </t>
  </si>
  <si>
    <t>LSB 8/256º </t>
  </si>
  <si>
    <t>L/R Fuel Flow</t>
  </si>
  <si>
    <t>365 </t>
  </si>
  <si>
    <t>Inertial Vertical Velocity </t>
  </si>
  <si>
    <t>LSB = 8192/256fpm (32fpm resolution) </t>
  </si>
  <si>
    <t xml:space="preserve">TEST DU VOR SEXTANT  </t>
  </si>
  <si>
    <t>DDRMI 63540-156-2/-3/-170-2</t>
  </si>
  <si>
    <t xml:space="preserve">note : </t>
  </si>
  <si>
    <t>Le VOR 1 est indiqué par la simple flèche</t>
  </si>
  <si>
    <t>Le VOR 2 est indiqué par la double flèche</t>
  </si>
  <si>
    <t>Donnée</t>
  </si>
  <si>
    <t>Valeur</t>
  </si>
  <si>
    <t>330° (- 30°)</t>
  </si>
  <si>
    <t>Gisement VOR 1</t>
  </si>
  <si>
    <t>250° (-110°)</t>
  </si>
  <si>
    <t>Gisement VOR 2</t>
  </si>
  <si>
    <t>170 degrés</t>
  </si>
  <si>
    <t>Distance DME 1</t>
  </si>
  <si>
    <t>100.0 Nm</t>
  </si>
  <si>
    <t>Distance DME 2</t>
  </si>
  <si>
    <t>200.0 Nm</t>
  </si>
  <si>
    <t>Cap sélectionné</t>
  </si>
  <si>
    <t>60°</t>
  </si>
  <si>
    <t>Test :</t>
  </si>
  <si>
    <t>La procédure de test suivante doit être menée pas à pas selon les différents tableaux.</t>
  </si>
  <si>
    <t xml:space="preserve">d’une part à chaque pin de validité de sortie du réceptacle et d’autre part à l’alim + 28 VDC. </t>
  </si>
  <si>
    <t>La validité d’une sortie particulière est alors testée en connectant le voltmètre DC à la pin H (borne – du voltmètre) et la sortie à tester.</t>
  </si>
  <si>
    <t xml:space="preserve">Pour tester la validité des signaux de sortie, la résistance de 1,47 kΩ doit être connectée </t>
  </si>
  <si>
    <r>
      <t xml:space="preserve">Si on lit 0 au voltmètre </t>
    </r>
    <r>
      <rPr>
        <sz val="12"/>
        <color indexed="8"/>
        <rFont val="Wingdings"/>
        <charset val="2"/>
      </rPr>
      <t>à</t>
    </r>
    <r>
      <rPr>
        <sz val="12"/>
        <color indexed="8"/>
        <rFont val="Times New Roman"/>
        <family val="1"/>
      </rPr>
      <t xml:space="preserve"> état masse (0)</t>
    </r>
  </si>
  <si>
    <r>
      <t xml:space="preserve">Si on lit + 28 VDC </t>
    </r>
    <r>
      <rPr>
        <sz val="12"/>
        <color indexed="8"/>
        <rFont val="Wingdings"/>
        <charset val="2"/>
      </rPr>
      <t>à</t>
    </r>
    <r>
      <rPr>
        <sz val="12"/>
        <color indexed="8"/>
        <rFont val="Times New Roman"/>
        <family val="1"/>
      </rPr>
      <t xml:space="preserve"> état haut (1)</t>
    </r>
  </si>
  <si>
    <t>Pin de connexion</t>
  </si>
  <si>
    <t>Sortie</t>
  </si>
  <si>
    <t>K</t>
  </si>
  <si>
    <t>X</t>
  </si>
  <si>
    <t>VOR1</t>
  </si>
  <si>
    <t>k</t>
  </si>
  <si>
    <t>VOR2</t>
  </si>
  <si>
    <t>m</t>
  </si>
  <si>
    <t>DME1</t>
  </si>
  <si>
    <t>t</t>
  </si>
  <si>
    <t>DME2</t>
  </si>
  <si>
    <t>La connection entre l’ instrument DDRMI et le bus ARINC429</t>
  </si>
  <si>
    <t>Nous avons trouvé les connections interne du connecteur dans la documentation de Thomson-CSF Jaeger Products. ( Component Maintenance Manual  34-50-01 page 12, 102 &amp; 113)</t>
  </si>
  <si>
    <t xml:space="preserve">Le connecteur utilisé est du type 03-38 CD9 FDBA 56-20-41 SX-K-5610  (source projet Master 1). </t>
  </si>
  <si>
    <t>Les Pins qui sont interressant pour notre project sont :</t>
  </si>
  <si>
    <t>Numéro de pin</t>
  </si>
  <si>
    <t>Caractéristiques</t>
  </si>
  <si>
    <t>C,D</t>
  </si>
  <si>
    <t>2 broches de l’alimentation principale de 115V 400Hz (triphasé)</t>
  </si>
  <si>
    <t>G</t>
  </si>
  <si>
    <t>Aircraft Ground</t>
  </si>
  <si>
    <t>H</t>
  </si>
  <si>
    <t>DC Ground (Input/Output reference)</t>
  </si>
  <si>
    <t>b,c</t>
  </si>
  <si>
    <t>VOR1 bus</t>
  </si>
  <si>
    <t>e,f</t>
  </si>
  <si>
    <t>VOR2 bus</t>
  </si>
  <si>
    <t>g,h</t>
  </si>
  <si>
    <t>DME1 bus</t>
  </si>
  <si>
    <t>i,j</t>
  </si>
  <si>
    <t>DME2 bus</t>
  </si>
  <si>
    <t>R,S</t>
  </si>
  <si>
    <t>Heading - main bus</t>
  </si>
  <si>
    <t>Pour contrôler et verifier la validité des signaux de sortie, on peut utiliser les pins suivantes.</t>
  </si>
  <si>
    <t xml:space="preserve">Le connecteur utilisé est d’un type 03-38 CD9 FDBA 56-20-41 SX-K-5610  </t>
  </si>
  <si>
    <r>
      <t>4.1</t>
    </r>
    <r>
      <rPr>
        <b/>
        <i/>
        <sz val="7"/>
        <color indexed="8"/>
        <rFont val="Times New Roman"/>
        <family val="1"/>
      </rPr>
      <t xml:space="preserve">            </t>
    </r>
    <r>
      <rPr>
        <b/>
        <i/>
        <sz val="14"/>
        <color indexed="8"/>
        <rFont val="Times New Roman"/>
        <family val="1"/>
      </rPr>
      <t>La configuration initiale de la DDRMI</t>
    </r>
  </si>
  <si>
    <t>Cap (heading validity)</t>
  </si>
  <si>
    <t>VOR1 validity</t>
  </si>
  <si>
    <t>VOR2 validity</t>
  </si>
  <si>
    <t>Data Bus</t>
  </si>
  <si>
    <t>Label (code octal)</t>
  </si>
  <si>
    <t>Données présentées</t>
  </si>
  <si>
    <t>DME1 validity</t>
  </si>
  <si>
    <t>Cap (heading)</t>
  </si>
  <si>
    <t>330°</t>
  </si>
  <si>
    <t>DME2validity</t>
  </si>
  <si>
    <t>VOR1 (bearing)</t>
  </si>
  <si>
    <t>250°</t>
  </si>
  <si>
    <t>VOR2 (bearing)</t>
  </si>
  <si>
    <t>170°</t>
  </si>
  <si>
    <t>La procédure de test est décrite dans le CMM 63540-156-3 (34-50-01 à partir de page 101)</t>
  </si>
  <si>
    <t>DME1 (distance)</t>
  </si>
  <si>
    <t>201 (BCD)</t>
  </si>
  <si>
    <t>100,0 NM</t>
  </si>
  <si>
    <t>DME2 (distance)</t>
  </si>
  <si>
    <t>200,0 NM</t>
  </si>
  <si>
    <t>ARINC 429 BNR</t>
  </si>
  <si>
    <t>Parité</t>
  </si>
  <si>
    <t>Signe</t>
  </si>
  <si>
    <t>MSB data</t>
  </si>
  <si>
    <t>Data LSB</t>
  </si>
  <si>
    <t>LSB Label</t>
  </si>
  <si>
    <t>Label MSB</t>
  </si>
  <si>
    <t>ARINC429</t>
  </si>
  <si>
    <t>DATA Field</t>
  </si>
  <si>
    <t>LABEL en octal</t>
  </si>
  <si>
    <t>N° bit</t>
  </si>
  <si>
    <t>valeur binaire</t>
  </si>
  <si>
    <t>&lt;- ZONE de SAISIE</t>
  </si>
  <si>
    <t>poids</t>
  </si>
  <si>
    <t xml:space="preserve"> -FS pour codage BNR</t>
  </si>
  <si>
    <t>poids FS</t>
  </si>
  <si>
    <t>Decimal</t>
  </si>
  <si>
    <t xml:space="preserve">Label: </t>
  </si>
  <si>
    <t>BNR data =</t>
  </si>
  <si>
    <t>ARINC 429 BCD</t>
  </si>
  <si>
    <t>divers</t>
  </si>
  <si>
    <t>poids BCD</t>
  </si>
  <si>
    <t>Hexadecimal</t>
  </si>
  <si>
    <t>BCD data = F (MHz)</t>
  </si>
  <si>
    <t>BCD data = DME (NM)</t>
  </si>
  <si>
    <t>BCD data = divers</t>
  </si>
  <si>
    <t>TP "temps réel" Master 2 GSAT,  ARINC 429  sur HC12E128 avec quartz 16MHz</t>
  </si>
  <si>
    <t>frequ</t>
  </si>
  <si>
    <t>t clk</t>
  </si>
  <si>
    <t>FAST</t>
  </si>
  <si>
    <t>cycle</t>
  </si>
  <si>
    <t>temps</t>
  </si>
  <si>
    <t>kHz</t>
  </si>
  <si>
    <t>T ms</t>
  </si>
  <si>
    <t>Ton</t>
  </si>
  <si>
    <t>t trame</t>
  </si>
  <si>
    <t>Tnull</t>
  </si>
  <si>
    <t>T trame</t>
  </si>
  <si>
    <t>duree31,5</t>
  </si>
  <si>
    <t>cycle trame</t>
  </si>
  <si>
    <t>cycle bit</t>
  </si>
  <si>
    <t>cycle null</t>
  </si>
  <si>
    <t>cycle Ton</t>
  </si>
  <si>
    <t>NULL</t>
  </si>
  <si>
    <t>TP 3 master 2 interruption RTI sur HC12E128 avec quartz 16MHz</t>
  </si>
  <si>
    <t>Trti</t>
  </si>
  <si>
    <t>T</t>
  </si>
  <si>
    <t>A</t>
  </si>
  <si>
    <t>B</t>
  </si>
  <si>
    <t>C</t>
  </si>
  <si>
    <t>A*C</t>
  </si>
  <si>
    <t>T en ms</t>
  </si>
  <si>
    <t>PERIODE RTI = C/16MHz</t>
  </si>
  <si>
    <t>PERIODE DECALAGE LED =A*C/16MHz</t>
  </si>
  <si>
    <t>taux division prog RTI</t>
  </si>
  <si>
    <t>config RTICTL</t>
  </si>
  <si>
    <t>1F</t>
  </si>
  <si>
    <t>2^4 *2^10</t>
  </si>
  <si>
    <t>2^0 *2^14</t>
  </si>
  <si>
    <t>2^1 *2^13</t>
  </si>
  <si>
    <t>2^2 *2^12</t>
  </si>
  <si>
    <t>2^3 *2^11</t>
  </si>
  <si>
    <t>2^3 *2^10</t>
  </si>
  <si>
    <t>2^2 *2^11</t>
  </si>
  <si>
    <t>2^1 *2^14</t>
  </si>
  <si>
    <t>2^0 *2^15</t>
  </si>
  <si>
    <t>2^2 *2^13</t>
  </si>
  <si>
    <t>2^3 *2^14</t>
  </si>
  <si>
    <t>2F</t>
  </si>
  <si>
    <t>2^4 *2^11</t>
  </si>
  <si>
    <t>7*2^15</t>
  </si>
  <si>
    <t>5D</t>
  </si>
  <si>
    <t>2*7 *2^14</t>
  </si>
  <si>
    <t>Lycée Pape Clément PESSAC</t>
  </si>
  <si>
    <t>Conversion de base:            Algèbre Binaire, Héxadécimal, Octal…Décimal</t>
  </si>
  <si>
    <t>Poids faible, LSB</t>
  </si>
  <si>
    <t>DM le 23 10 2002</t>
  </si>
  <si>
    <t>Double octet: 16 bits, 2 bytes</t>
  </si>
  <si>
    <t>1 octet, 8 bits, 1 byte</t>
  </si>
  <si>
    <t>Quartet 4 bits</t>
  </si>
  <si>
    <t>Base de départ</t>
  </si>
  <si>
    <t>Après la virgule !</t>
  </si>
  <si>
    <t>Poids négatif !</t>
  </si>
  <si>
    <t>rang binaire</t>
  </si>
  <si>
    <t>poids binaire</t>
  </si>
  <si>
    <t>&lt;--- VERS &lt;---</t>
  </si>
  <si>
    <t>valeur binaire à saisir</t>
  </si>
  <si>
    <t>,</t>
  </si>
  <si>
    <t>valeur décimale de chaque bit</t>
  </si>
  <si>
    <t>conversion dans la base</t>
  </si>
  <si>
    <t xml:space="preserve">RESULTAT: </t>
  </si>
  <si>
    <t>en base</t>
  </si>
  <si>
    <t>F</t>
  </si>
  <si>
    <t>E</t>
  </si>
  <si>
    <t>D</t>
  </si>
  <si>
    <t>Rang Hexa</t>
  </si>
  <si>
    <t>poids hexa</t>
  </si>
  <si>
    <t>valeur hexadécimales à saisir</t>
  </si>
  <si>
    <t>f</t>
  </si>
  <si>
    <t>poids décimal</t>
  </si>
  <si>
    <t>Rang octal</t>
  </si>
  <si>
    <t>poids octal</t>
  </si>
  <si>
    <t>valeur octales à saisir</t>
  </si>
  <si>
    <t>valeur décimale de chaque chiffre</t>
  </si>
  <si>
    <t>Altitude Pression QNE</t>
  </si>
  <si>
    <t>Label : 203</t>
  </si>
  <si>
    <t>Range : -1200.0 to+131072</t>
  </si>
  <si>
    <t>Resolution : 1 feet</t>
  </si>
  <si>
    <t>FS</t>
  </si>
  <si>
    <t>feet</t>
  </si>
  <si>
    <t>1</t>
  </si>
  <si>
    <t>0</t>
  </si>
  <si>
    <t>Parity = ODD, impair</t>
  </si>
  <si>
    <t>Label : 201</t>
  </si>
  <si>
    <t>Unit : NM</t>
  </si>
  <si>
    <t>Range : 0 to 399,9</t>
  </si>
  <si>
    <t>Resolution : 0.1 NM</t>
  </si>
  <si>
    <t>Version D Michaud le 11/12/2018</t>
  </si>
  <si>
    <r>
      <t>Label :</t>
    </r>
    <r>
      <rPr>
        <b/>
        <sz val="18"/>
        <color theme="1"/>
        <rFont val="Arial"/>
        <family val="2"/>
      </rPr>
      <t xml:space="preserve"> 030</t>
    </r>
  </si>
  <si>
    <r>
      <t xml:space="preserve">Label : </t>
    </r>
    <r>
      <rPr>
        <b/>
        <sz val="16"/>
        <color theme="1"/>
        <rFont val="Arial"/>
        <family val="2"/>
      </rPr>
      <t>202</t>
    </r>
  </si>
  <si>
    <r>
      <t xml:space="preserve">Label : </t>
    </r>
    <r>
      <rPr>
        <b/>
        <sz val="16"/>
        <color theme="1"/>
        <rFont val="Arial"/>
        <family val="2"/>
      </rPr>
      <t>076</t>
    </r>
  </si>
  <si>
    <r>
      <t>Label :</t>
    </r>
    <r>
      <rPr>
        <b/>
        <sz val="16"/>
        <color theme="1"/>
        <rFont val="Arial"/>
        <family val="2"/>
      </rPr>
      <t xml:space="preserve"> 324</t>
    </r>
  </si>
  <si>
    <r>
      <t>Label :</t>
    </r>
    <r>
      <rPr>
        <b/>
        <sz val="20"/>
        <color theme="1"/>
        <rFont val="Arial"/>
        <family val="2"/>
      </rPr>
      <t xml:space="preserve"> 162</t>
    </r>
  </si>
  <si>
    <r>
      <t>Label :</t>
    </r>
    <r>
      <rPr>
        <sz val="16"/>
        <color theme="1"/>
        <rFont val="Arial"/>
        <family val="2"/>
      </rPr>
      <t xml:space="preserve"> 325</t>
    </r>
  </si>
  <si>
    <r>
      <t>Label :</t>
    </r>
    <r>
      <rPr>
        <b/>
        <sz val="14"/>
        <color theme="1"/>
        <rFont val="Arial"/>
        <family val="2"/>
      </rPr>
      <t xml:space="preserve"> 210</t>
    </r>
  </si>
  <si>
    <r>
      <t xml:space="preserve">Label : </t>
    </r>
    <r>
      <rPr>
        <b/>
        <sz val="16"/>
        <color theme="1"/>
        <rFont val="Arial"/>
        <family val="2"/>
      </rPr>
      <t>212</t>
    </r>
  </si>
  <si>
    <r>
      <t xml:space="preserve">Label : </t>
    </r>
    <r>
      <rPr>
        <b/>
        <sz val="16"/>
        <color theme="1"/>
        <rFont val="Arial"/>
        <family val="2"/>
      </rPr>
      <t>320</t>
    </r>
  </si>
  <si>
    <r>
      <t>Label :</t>
    </r>
    <r>
      <rPr>
        <b/>
        <sz val="20"/>
        <color theme="1"/>
        <rFont val="Arial"/>
        <family val="2"/>
      </rPr>
      <t xml:space="preserve"> 222</t>
    </r>
  </si>
  <si>
    <t>Pour la transmission de fréquence VHF le 1 des 100 MHz n'est pas transmis car 108 &lt;F &lt; 137 MHz</t>
  </si>
  <si>
    <t>taux division RTICTL</t>
  </si>
  <si>
    <t>7 *2^14</t>
  </si>
  <si>
    <t>7 *2^13</t>
  </si>
  <si>
    <t>7 *2^15</t>
  </si>
  <si>
    <t>POIDS FORT RTI nb CYLCE</t>
  </si>
  <si>
    <t>POIDS FORT RTI CTL</t>
  </si>
  <si>
    <t>LSB RTI CTL</t>
  </si>
  <si>
    <t>RTI nb CYLCE</t>
  </si>
  <si>
    <t>Nb cycle 1 LED</t>
  </si>
  <si>
    <t>durée Rti (ms) IRQ</t>
  </si>
  <si>
    <t>durée 1 LED (ms)</t>
  </si>
  <si>
    <t>2^4 *2^24</t>
  </si>
  <si>
    <t>MSB Label</t>
  </si>
  <si>
    <t>Resolution : 0.0009765/2</t>
  </si>
  <si>
    <t>?</t>
  </si>
  <si>
    <t>Version D Michaud le 30/01/2021 @evering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</si>
</sst>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.0000"/>
    <numFmt numFmtId="165" formatCode="0.000"/>
    <numFmt numFmtId="166" formatCode="0.0"/>
    <numFmt numFmtId="167" formatCode="#,###.000000"/>
    <numFmt numFmtId="168" formatCode="0.000000"/>
    <numFmt numFmtId="169" formatCode="#,##0\ _F"/>
    <numFmt numFmtId="170" formatCode="0.00000"/>
    <numFmt numFmtId="171" formatCode="0.0000000"/>
    <numFmt numFmtId="172" formatCode="#,##0_ ;\-#,##0\ 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&quot; &quot;??/16"/>
    <numFmt numFmtId="178" formatCode="#&quot; &quot;???/???"/>
    <numFmt numFmtId="179" formatCode="0.0000000000"/>
    <numFmt numFmtId="180" formatCode="#,##0.000000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indexed="8"/>
      <name val="Wingdings"/>
      <charset val="2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7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rgb="FFFF0000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b/>
      <sz val="10"/>
      <color theme="5" tint="-0.249977111117893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indexed="57"/>
      <name val="Arial"/>
      <family val="2"/>
    </font>
    <font>
      <b/>
      <i/>
      <sz val="11"/>
      <color indexed="10"/>
      <name val="Arial"/>
      <family val="2"/>
    </font>
    <font>
      <sz val="10"/>
      <color indexed="14"/>
      <name val="Arial"/>
      <family val="2"/>
    </font>
    <font>
      <b/>
      <i/>
      <sz val="10"/>
      <color indexed="14"/>
      <name val="Arial"/>
      <family val="2"/>
    </font>
    <font>
      <b/>
      <sz val="10"/>
      <color indexed="58"/>
      <name val="Arial"/>
      <family val="2"/>
    </font>
    <font>
      <b/>
      <sz val="12"/>
      <color rgb="FFFF0000"/>
      <name val="Arial"/>
      <family val="2"/>
    </font>
    <font>
      <sz val="14"/>
      <color theme="1"/>
      <name val="Calibri"/>
      <family val="2"/>
      <scheme val="minor"/>
    </font>
    <font>
      <sz val="12"/>
      <color rgb="FFFF0000"/>
      <name val="Arial"/>
      <family val="2"/>
    </font>
    <font>
      <i/>
      <sz val="11"/>
      <color theme="4" tint="0.39997558519241921"/>
      <name val="Calibri"/>
      <family val="2"/>
      <scheme val="minor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 textRotation="90"/>
    </xf>
    <xf numFmtId="164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 vertical="center" textRotation="90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 textRotation="90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1" fillId="2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>
      <alignment vertical="center" textRotation="90"/>
    </xf>
    <xf numFmtId="2" fontId="1" fillId="0" borderId="0" xfId="0" applyNumberFormat="1" applyFont="1" applyBorder="1" applyAlignment="1">
      <alignment vertical="center" textRotation="90"/>
    </xf>
    <xf numFmtId="166" fontId="1" fillId="0" borderId="0" xfId="0" applyNumberFormat="1" applyFont="1" applyBorder="1" applyAlignment="1">
      <alignment vertical="center" textRotation="90"/>
    </xf>
    <xf numFmtId="1" fontId="1" fillId="0" borderId="0" xfId="0" applyNumberFormat="1" applyFont="1" applyBorder="1" applyAlignment="1">
      <alignment vertical="center" textRotation="90"/>
    </xf>
    <xf numFmtId="0" fontId="0" fillId="0" borderId="0" xfId="0" applyBorder="1"/>
    <xf numFmtId="0" fontId="1" fillId="3" borderId="24" xfId="0" applyFont="1" applyFill="1" applyBorder="1" applyAlignment="1" applyProtection="1">
      <alignment horizontal="center" vertical="center"/>
      <protection locked="0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>
      <alignment vertical="center"/>
    </xf>
    <xf numFmtId="0" fontId="1" fillId="4" borderId="13" xfId="0" applyFont="1" applyFill="1" applyBorder="1" applyAlignment="1">
      <alignment horizontal="center" vertical="center"/>
    </xf>
    <xf numFmtId="2" fontId="0" fillId="0" borderId="0" xfId="0" applyNumberFormat="1" applyAlignment="1">
      <alignment textRotation="90"/>
    </xf>
    <xf numFmtId="1" fontId="0" fillId="0" borderId="0" xfId="0" applyNumberFormat="1" applyAlignment="1">
      <alignment vertical="center" textRotation="90"/>
    </xf>
    <xf numFmtId="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" fontId="1" fillId="4" borderId="7" xfId="0" applyNumberFormat="1" applyFont="1" applyFill="1" applyBorder="1" applyAlignment="1">
      <alignment horizontal="center" vertical="center"/>
    </xf>
    <xf numFmtId="1" fontId="1" fillId="4" borderId="18" xfId="0" applyNumberFormat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 textRotation="90"/>
    </xf>
    <xf numFmtId="2" fontId="0" fillId="0" borderId="0" xfId="0" applyNumberFormat="1" applyAlignment="1">
      <alignment horizontal="center" vertical="center" textRotation="90"/>
    </xf>
    <xf numFmtId="0" fontId="0" fillId="0" borderId="0" xfId="0" applyNumberFormat="1" applyAlignment="1">
      <alignment horizontal="center" vertical="center" textRotation="9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left"/>
    </xf>
    <xf numFmtId="0" fontId="0" fillId="7" borderId="0" xfId="0" applyFill="1"/>
    <xf numFmtId="1" fontId="0" fillId="0" borderId="0" xfId="0" applyNumberFormat="1"/>
    <xf numFmtId="0" fontId="0" fillId="8" borderId="0" xfId="0" applyFill="1"/>
    <xf numFmtId="1" fontId="0" fillId="0" borderId="0" xfId="0" applyNumberFormat="1" applyAlignment="1"/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 readingOrder="1"/>
    </xf>
    <xf numFmtId="0" fontId="0" fillId="0" borderId="0" xfId="0" applyAlignment="1">
      <alignment wrapText="1"/>
    </xf>
    <xf numFmtId="49" fontId="0" fillId="0" borderId="0" xfId="0" applyNumberFormat="1" applyFill="1" applyAlignment="1">
      <alignment wrapText="1"/>
    </xf>
    <xf numFmtId="0" fontId="0" fillId="9" borderId="0" xfId="0" applyFill="1" applyAlignment="1">
      <alignment wrapText="1" readingOrder="1"/>
    </xf>
    <xf numFmtId="49" fontId="0" fillId="8" borderId="0" xfId="0" applyNumberFormat="1" applyFill="1" applyAlignment="1">
      <alignment wrapText="1"/>
    </xf>
    <xf numFmtId="0" fontId="0" fillId="7" borderId="0" xfId="0" applyFill="1" applyAlignment="1">
      <alignment wrapText="1" readingOrder="1"/>
    </xf>
    <xf numFmtId="1" fontId="0" fillId="8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9" fontId="0" fillId="0" borderId="0" xfId="0" applyNumberFormat="1" applyAlignment="1">
      <alignment wrapText="1"/>
    </xf>
    <xf numFmtId="11" fontId="0" fillId="0" borderId="0" xfId="0" applyNumberFormat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10" borderId="10" xfId="0" applyFont="1" applyFill="1" applyBorder="1" applyAlignment="1">
      <alignment horizontal="center" wrapText="1"/>
    </xf>
    <xf numFmtId="0" fontId="10" fillId="10" borderId="14" xfId="0" applyFont="1" applyFill="1" applyBorder="1" applyAlignment="1">
      <alignment horizontal="center" wrapText="1"/>
    </xf>
    <xf numFmtId="0" fontId="10" fillId="10" borderId="29" xfId="0" applyFont="1" applyFill="1" applyBorder="1" applyAlignment="1">
      <alignment horizontal="center" wrapText="1"/>
    </xf>
    <xf numFmtId="0" fontId="10" fillId="0" borderId="30" xfId="0" applyFont="1" applyBorder="1" applyAlignment="1">
      <alignment horizontal="center" wrapText="1"/>
    </xf>
    <xf numFmtId="0" fontId="12" fillId="0" borderId="0" xfId="0" applyFont="1"/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5" fillId="0" borderId="0" xfId="0" applyFont="1"/>
    <xf numFmtId="0" fontId="16" fillId="0" borderId="31" xfId="0" applyFont="1" applyBorder="1" applyAlignment="1">
      <alignment vertical="top" wrapText="1"/>
    </xf>
    <xf numFmtId="0" fontId="16" fillId="0" borderId="32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7" fillId="0" borderId="0" xfId="0" applyFont="1" applyAlignment="1">
      <alignment horizontal="left" indent="8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0" fillId="11" borderId="6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12" borderId="6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5" xfId="0" applyBorder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2" borderId="3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13" borderId="13" xfId="0" applyFont="1" applyFill="1" applyBorder="1" applyAlignment="1">
      <alignment horizontal="center" vertical="center"/>
    </xf>
    <xf numFmtId="0" fontId="24" fillId="16" borderId="0" xfId="0" applyFont="1" applyFill="1" applyAlignment="1">
      <alignment vertical="center"/>
    </xf>
    <xf numFmtId="0" fontId="0" fillId="0" borderId="39" xfId="0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textRotation="90"/>
    </xf>
    <xf numFmtId="0" fontId="26" fillId="0" borderId="0" xfId="0" applyFont="1"/>
    <xf numFmtId="0" fontId="28" fillId="15" borderId="13" xfId="0" applyFont="1" applyFill="1" applyBorder="1"/>
    <xf numFmtId="0" fontId="28" fillId="15" borderId="8" xfId="0" applyFont="1" applyFill="1" applyBorder="1" applyAlignment="1">
      <alignment horizontal="right"/>
    </xf>
    <xf numFmtId="0" fontId="28" fillId="15" borderId="8" xfId="0" applyFont="1" applyFill="1" applyBorder="1"/>
    <xf numFmtId="0" fontId="28" fillId="15" borderId="14" xfId="0" applyFont="1" applyFill="1" applyBorder="1"/>
    <xf numFmtId="0" fontId="0" fillId="0" borderId="13" xfId="0" applyBorder="1"/>
    <xf numFmtId="0" fontId="0" fillId="0" borderId="8" xfId="0" applyBorder="1"/>
    <xf numFmtId="0" fontId="29" fillId="0" borderId="13" xfId="0" applyFont="1" applyBorder="1"/>
    <xf numFmtId="0" fontId="29" fillId="0" borderId="8" xfId="0" applyFont="1" applyBorder="1"/>
    <xf numFmtId="0" fontId="29" fillId="0" borderId="8" xfId="0" applyFont="1" applyBorder="1" applyAlignment="1">
      <alignment horizontal="right"/>
    </xf>
    <xf numFmtId="0" fontId="28" fillId="17" borderId="6" xfId="0" applyFont="1" applyFill="1" applyBorder="1" applyAlignment="1">
      <alignment horizontal="left"/>
    </xf>
    <xf numFmtId="0" fontId="0" fillId="17" borderId="3" xfId="0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0" fillId="11" borderId="38" xfId="0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28" fillId="18" borderId="38" xfId="0" applyFont="1" applyFill="1" applyBorder="1" applyAlignment="1">
      <alignment horizontal="left"/>
    </xf>
    <xf numFmtId="0" fontId="0" fillId="18" borderId="0" xfId="0" applyFill="1" applyBorder="1" applyAlignment="1">
      <alignment horizontal="center"/>
    </xf>
    <xf numFmtId="0" fontId="0" fillId="0" borderId="38" xfId="0" applyBorder="1"/>
    <xf numFmtId="0" fontId="0" fillId="0" borderId="23" xfId="0" applyBorder="1" applyAlignment="1">
      <alignment horizontal="right"/>
    </xf>
    <xf numFmtId="0" fontId="0" fillId="11" borderId="0" xfId="0" applyFill="1" applyAlignment="1">
      <alignment horizontal="center"/>
    </xf>
    <xf numFmtId="0" fontId="0" fillId="0" borderId="23" xfId="0" applyBorder="1"/>
    <xf numFmtId="0" fontId="0" fillId="0" borderId="0" xfId="0" applyFill="1" applyBorder="1"/>
    <xf numFmtId="0" fontId="0" fillId="0" borderId="40" xfId="0" applyBorder="1"/>
    <xf numFmtId="0" fontId="0" fillId="0" borderId="41" xfId="0" applyBorder="1"/>
    <xf numFmtId="0" fontId="0" fillId="0" borderId="30" xfId="0" applyBorder="1"/>
    <xf numFmtId="0" fontId="0" fillId="0" borderId="40" xfId="0" applyBorder="1" applyAlignment="1">
      <alignment textRotation="90"/>
    </xf>
    <xf numFmtId="0" fontId="0" fillId="0" borderId="41" xfId="0" applyBorder="1" applyAlignment="1">
      <alignment textRotation="90"/>
    </xf>
    <xf numFmtId="0" fontId="0" fillId="0" borderId="30" xfId="0" applyBorder="1" applyAlignment="1">
      <alignment textRotation="90"/>
    </xf>
    <xf numFmtId="0" fontId="26" fillId="0" borderId="38" xfId="0" applyFont="1" applyBorder="1"/>
    <xf numFmtId="0" fontId="26" fillId="0" borderId="0" xfId="0" applyFont="1" applyBorder="1"/>
    <xf numFmtId="0" fontId="26" fillId="0" borderId="23" xfId="0" applyFont="1" applyBorder="1"/>
    <xf numFmtId="0" fontId="25" fillId="0" borderId="0" xfId="0" applyFont="1" applyAlignment="1">
      <alignment horizontal="right"/>
    </xf>
    <xf numFmtId="0" fontId="23" fillId="0" borderId="0" xfId="0" applyFont="1"/>
    <xf numFmtId="0" fontId="23" fillId="0" borderId="38" xfId="0" applyFont="1" applyBorder="1"/>
    <xf numFmtId="0" fontId="23" fillId="0" borderId="0" xfId="0" applyFont="1" applyBorder="1"/>
    <xf numFmtId="0" fontId="23" fillId="0" borderId="23" xfId="0" applyFont="1" applyBorder="1"/>
    <xf numFmtId="0" fontId="0" fillId="17" borderId="0" xfId="0" applyFill="1"/>
    <xf numFmtId="0" fontId="0" fillId="17" borderId="13" xfId="0" applyFill="1" applyBorder="1"/>
    <xf numFmtId="0" fontId="0" fillId="17" borderId="8" xfId="0" applyFill="1" applyBorder="1"/>
    <xf numFmtId="0" fontId="29" fillId="17" borderId="13" xfId="0" applyFont="1" applyFill="1" applyBorder="1"/>
    <xf numFmtId="0" fontId="29" fillId="17" borderId="8" xfId="0" applyFont="1" applyFill="1" applyBorder="1"/>
    <xf numFmtId="0" fontId="29" fillId="17" borderId="8" xfId="0" applyFont="1" applyFill="1" applyBorder="1" applyAlignment="1">
      <alignment horizontal="right"/>
    </xf>
    <xf numFmtId="0" fontId="28" fillId="15" borderId="6" xfId="0" applyFont="1" applyFill="1" applyBorder="1"/>
    <xf numFmtId="0" fontId="28" fillId="15" borderId="3" xfId="0" applyFont="1" applyFill="1" applyBorder="1"/>
    <xf numFmtId="0" fontId="28" fillId="15" borderId="3" xfId="0" applyFont="1" applyFill="1" applyBorder="1" applyAlignment="1">
      <alignment horizontal="right"/>
    </xf>
    <xf numFmtId="0" fontId="28" fillId="15" borderId="5" xfId="0" applyFont="1" applyFill="1" applyBorder="1"/>
    <xf numFmtId="0" fontId="0" fillId="18" borderId="0" xfId="0" applyFill="1"/>
    <xf numFmtId="0" fontId="0" fillId="18" borderId="13" xfId="0" applyFill="1" applyBorder="1"/>
    <xf numFmtId="0" fontId="0" fillId="18" borderId="8" xfId="0" applyFill="1" applyBorder="1"/>
    <xf numFmtId="0" fontId="29" fillId="18" borderId="13" xfId="0" applyFont="1" applyFill="1" applyBorder="1"/>
    <xf numFmtId="0" fontId="29" fillId="18" borderId="8" xfId="0" applyFont="1" applyFill="1" applyBorder="1"/>
    <xf numFmtId="0" fontId="29" fillId="18" borderId="8" xfId="0" applyFont="1" applyFill="1" applyBorder="1" applyAlignment="1">
      <alignment horizontal="right"/>
    </xf>
    <xf numFmtId="0" fontId="28" fillId="15" borderId="40" xfId="0" applyFont="1" applyFill="1" applyBorder="1"/>
    <xf numFmtId="0" fontId="28" fillId="15" borderId="41" xfId="0" applyFont="1" applyFill="1" applyBorder="1"/>
    <xf numFmtId="0" fontId="28" fillId="15" borderId="41" xfId="0" applyFont="1" applyFill="1" applyBorder="1" applyAlignment="1">
      <alignment horizontal="right"/>
    </xf>
    <xf numFmtId="0" fontId="28" fillId="15" borderId="30" xfId="0" applyFont="1" applyFill="1" applyBorder="1"/>
    <xf numFmtId="0" fontId="0" fillId="19" borderId="0" xfId="0" applyFill="1"/>
    <xf numFmtId="0" fontId="0" fillId="19" borderId="13" xfId="0" applyFill="1" applyBorder="1"/>
    <xf numFmtId="0" fontId="0" fillId="19" borderId="8" xfId="0" applyFill="1" applyBorder="1"/>
    <xf numFmtId="0" fontId="29" fillId="19" borderId="13" xfId="0" applyFont="1" applyFill="1" applyBorder="1"/>
    <xf numFmtId="0" fontId="29" fillId="19" borderId="8" xfId="0" applyFont="1" applyFill="1" applyBorder="1"/>
    <xf numFmtId="0" fontId="29" fillId="19" borderId="8" xfId="0" applyFont="1" applyFill="1" applyBorder="1" applyAlignment="1">
      <alignment horizontal="right"/>
    </xf>
    <xf numFmtId="0" fontId="0" fillId="18" borderId="0" xfId="0" applyFill="1" applyAlignment="1">
      <alignment horizontal="right"/>
    </xf>
    <xf numFmtId="0" fontId="22" fillId="8" borderId="0" xfId="0" applyFont="1" applyFill="1"/>
    <xf numFmtId="0" fontId="22" fillId="0" borderId="0" xfId="0" applyFont="1"/>
    <xf numFmtId="167" fontId="22" fillId="6" borderId="0" xfId="0" applyNumberFormat="1" applyFont="1" applyFill="1"/>
    <xf numFmtId="0" fontId="0" fillId="0" borderId="15" xfId="0" applyBorder="1"/>
    <xf numFmtId="0" fontId="34" fillId="0" borderId="0" xfId="0" applyFont="1"/>
    <xf numFmtId="168" fontId="0" fillId="0" borderId="0" xfId="0" applyNumberFormat="1"/>
    <xf numFmtId="168" fontId="22" fillId="0" borderId="0" xfId="0" applyNumberFormat="1" applyFont="1"/>
    <xf numFmtId="168" fontId="0" fillId="0" borderId="15" xfId="0" applyNumberFormat="1" applyBorder="1"/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0" fillId="0" borderId="47" xfId="0" applyBorder="1"/>
    <xf numFmtId="0" fontId="0" fillId="0" borderId="45" xfId="0" applyBorder="1"/>
    <xf numFmtId="0" fontId="0" fillId="0" borderId="48" xfId="0" applyBorder="1"/>
    <xf numFmtId="0" fontId="0" fillId="0" borderId="46" xfId="0" applyBorder="1"/>
    <xf numFmtId="0" fontId="0" fillId="0" borderId="49" xfId="0" applyBorder="1"/>
    <xf numFmtId="0" fontId="0" fillId="0" borderId="0" xfId="0" applyAlignment="1">
      <alignment horizontal="right"/>
    </xf>
    <xf numFmtId="0" fontId="0" fillId="0" borderId="0" xfId="0" applyAlignment="1">
      <alignment textRotation="67"/>
    </xf>
    <xf numFmtId="0" fontId="0" fillId="0" borderId="0" xfId="0" applyAlignment="1">
      <alignment horizontal="right" textRotation="67"/>
    </xf>
    <xf numFmtId="0" fontId="0" fillId="0" borderId="50" xfId="0" applyBorder="1"/>
    <xf numFmtId="0" fontId="0" fillId="0" borderId="58" xfId="0" applyBorder="1"/>
    <xf numFmtId="0" fontId="0" fillId="27" borderId="0" xfId="0" applyFill="1"/>
    <xf numFmtId="0" fontId="36" fillId="23" borderId="57" xfId="0" applyFont="1" applyFill="1" applyBorder="1" applyAlignment="1">
      <alignment horizontal="center"/>
    </xf>
    <xf numFmtId="0" fontId="36" fillId="23" borderId="0" xfId="0" applyFont="1" applyFill="1" applyBorder="1" applyAlignment="1">
      <alignment horizontal="center"/>
    </xf>
    <xf numFmtId="0" fontId="0" fillId="25" borderId="57" xfId="0" applyFill="1" applyBorder="1" applyAlignment="1"/>
    <xf numFmtId="0" fontId="0" fillId="25" borderId="0" xfId="0" applyFill="1" applyBorder="1" applyAlignment="1"/>
    <xf numFmtId="0" fontId="0" fillId="26" borderId="0" xfId="0" applyFill="1" applyBorder="1" applyAlignment="1"/>
    <xf numFmtId="0" fontId="0" fillId="25" borderId="58" xfId="0" applyFill="1" applyBorder="1" applyAlignment="1"/>
    <xf numFmtId="0" fontId="0" fillId="27" borderId="59" xfId="0" applyFill="1" applyBorder="1" applyAlignment="1"/>
    <xf numFmtId="0" fontId="0" fillId="27" borderId="60" xfId="0" applyFill="1" applyBorder="1" applyAlignment="1"/>
    <xf numFmtId="0" fontId="0" fillId="27" borderId="61" xfId="0" applyFill="1" applyBorder="1" applyAlignment="1"/>
    <xf numFmtId="0" fontId="0" fillId="0" borderId="57" xfId="0" applyBorder="1"/>
    <xf numFmtId="0" fontId="0" fillId="22" borderId="58" xfId="0" applyFill="1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169" fontId="25" fillId="0" borderId="0" xfId="0" applyNumberFormat="1" applyFont="1" applyAlignment="1">
      <alignment horizontal="center" vertical="center" textRotation="90" wrapText="1"/>
    </xf>
    <xf numFmtId="169" fontId="0" fillId="0" borderId="0" xfId="0" applyNumberFormat="1" applyAlignment="1">
      <alignment horizontal="center" textRotation="90"/>
    </xf>
    <xf numFmtId="169" fontId="26" fillId="0" borderId="62" xfId="0" applyNumberFormat="1" applyFont="1" applyBorder="1" applyAlignment="1">
      <alignment textRotation="90"/>
    </xf>
    <xf numFmtId="169" fontId="26" fillId="0" borderId="58" xfId="0" applyNumberFormat="1" applyFont="1" applyBorder="1" applyAlignment="1">
      <alignment textRotation="90"/>
    </xf>
    <xf numFmtId="2" fontId="26" fillId="0" borderId="58" xfId="0" applyNumberFormat="1" applyFont="1" applyBorder="1" applyAlignment="1">
      <alignment textRotation="90"/>
    </xf>
    <xf numFmtId="165" fontId="26" fillId="0" borderId="58" xfId="0" applyNumberFormat="1" applyFont="1" applyBorder="1" applyAlignment="1">
      <alignment textRotation="90"/>
    </xf>
    <xf numFmtId="164" fontId="26" fillId="0" borderId="58" xfId="0" applyNumberFormat="1" applyFont="1" applyBorder="1" applyAlignment="1">
      <alignment textRotation="90"/>
    </xf>
    <xf numFmtId="170" fontId="26" fillId="0" borderId="58" xfId="0" applyNumberFormat="1" applyFont="1" applyBorder="1" applyAlignment="1">
      <alignment textRotation="90"/>
    </xf>
    <xf numFmtId="168" fontId="26" fillId="0" borderId="58" xfId="0" applyNumberFormat="1" applyFont="1" applyBorder="1" applyAlignment="1">
      <alignment textRotation="90"/>
    </xf>
    <xf numFmtId="171" fontId="26" fillId="0" borderId="58" xfId="0" applyNumberFormat="1" applyFont="1" applyBorder="1" applyAlignment="1">
      <alignment textRotation="90"/>
    </xf>
    <xf numFmtId="169" fontId="0" fillId="0" borderId="0" xfId="0" applyNumberFormat="1"/>
    <xf numFmtId="0" fontId="24" fillId="28" borderId="63" xfId="0" applyFont="1" applyFill="1" applyBorder="1" applyProtection="1">
      <protection locked="0"/>
    </xf>
    <xf numFmtId="0" fontId="24" fillId="28" borderId="64" xfId="0" applyFont="1" applyFill="1" applyBorder="1" applyProtection="1">
      <protection locked="0"/>
    </xf>
    <xf numFmtId="0" fontId="24" fillId="28" borderId="65" xfId="0" applyFont="1" applyFill="1" applyBorder="1" applyProtection="1">
      <protection locked="0"/>
    </xf>
    <xf numFmtId="0" fontId="24" fillId="28" borderId="0" xfId="0" applyFont="1" applyFill="1" applyBorder="1" applyProtection="1">
      <protection locked="0"/>
    </xf>
    <xf numFmtId="0" fontId="38" fillId="28" borderId="59" xfId="0" applyFont="1" applyFill="1" applyBorder="1" applyProtection="1">
      <protection locked="0"/>
    </xf>
    <xf numFmtId="0" fontId="38" fillId="28" borderId="60" xfId="0" applyFont="1" applyFill="1" applyBorder="1" applyProtection="1">
      <protection locked="0"/>
    </xf>
    <xf numFmtId="0" fontId="38" fillId="28" borderId="61" xfId="0" applyFont="1" applyFill="1" applyBorder="1" applyProtection="1">
      <protection locked="0"/>
    </xf>
    <xf numFmtId="0" fontId="24" fillId="16" borderId="0" xfId="0" applyFont="1" applyFill="1"/>
    <xf numFmtId="0" fontId="24" fillId="0" borderId="0" xfId="0" applyFont="1"/>
    <xf numFmtId="172" fontId="37" fillId="0" borderId="66" xfId="0" applyNumberFormat="1" applyFont="1" applyBorder="1" applyAlignment="1">
      <alignment textRotation="90"/>
    </xf>
    <xf numFmtId="173" fontId="37" fillId="0" borderId="66" xfId="0" applyNumberFormat="1" applyFont="1" applyBorder="1" applyAlignment="1">
      <alignment textRotation="90"/>
    </xf>
    <xf numFmtId="174" fontId="37" fillId="0" borderId="66" xfId="0" applyNumberFormat="1" applyFont="1" applyBorder="1" applyAlignment="1">
      <alignment textRotation="90"/>
    </xf>
    <xf numFmtId="175" fontId="37" fillId="0" borderId="66" xfId="0" applyNumberFormat="1" applyFont="1" applyBorder="1" applyAlignment="1">
      <alignment textRotation="90"/>
    </xf>
    <xf numFmtId="176" fontId="37" fillId="0" borderId="66" xfId="0" applyNumberFormat="1" applyFont="1" applyBorder="1" applyAlignment="1">
      <alignment textRotation="90"/>
    </xf>
    <xf numFmtId="172" fontId="37" fillId="23" borderId="66" xfId="0" applyNumberFormat="1" applyFont="1" applyFill="1" applyBorder="1" applyAlignment="1">
      <alignment horizontal="center" vertical="center"/>
    </xf>
    <xf numFmtId="0" fontId="39" fillId="0" borderId="66" xfId="0" applyFont="1" applyBorder="1" applyAlignment="1"/>
    <xf numFmtId="0" fontId="39" fillId="22" borderId="66" xfId="0" applyFont="1" applyFill="1" applyBorder="1" applyAlignment="1"/>
    <xf numFmtId="0" fontId="39" fillId="22" borderId="66" xfId="0" applyFont="1" applyFill="1" applyBorder="1" applyAlignment="1">
      <alignment horizontal="right"/>
    </xf>
    <xf numFmtId="0" fontId="39" fillId="22" borderId="0" xfId="0" applyFont="1" applyFill="1" applyBorder="1" applyAlignment="1"/>
    <xf numFmtId="0" fontId="40" fillId="22" borderId="0" xfId="0" applyFont="1" applyFill="1"/>
    <xf numFmtId="0" fontId="0" fillId="22" borderId="0" xfId="0" applyFill="1"/>
    <xf numFmtId="0" fontId="41" fillId="22" borderId="0" xfId="0" applyFont="1" applyFill="1"/>
    <xf numFmtId="0" fontId="0" fillId="29" borderId="68" xfId="0" applyFill="1" applyBorder="1" applyAlignment="1">
      <alignment wrapText="1"/>
    </xf>
    <xf numFmtId="0" fontId="0" fillId="29" borderId="68" xfId="0" applyFill="1" applyBorder="1"/>
    <xf numFmtId="0" fontId="39" fillId="29" borderId="68" xfId="0" applyFont="1" applyFill="1" applyBorder="1" applyAlignment="1"/>
    <xf numFmtId="0" fontId="42" fillId="23" borderId="63" xfId="0" applyFont="1" applyFill="1" applyBorder="1"/>
    <xf numFmtId="0" fontId="42" fillId="23" borderId="64" xfId="0" applyFont="1" applyFill="1" applyBorder="1"/>
    <xf numFmtId="0" fontId="42" fillId="23" borderId="65" xfId="0" applyFont="1" applyFill="1" applyBorder="1"/>
    <xf numFmtId="169" fontId="0" fillId="0" borderId="0" xfId="0" applyNumberFormat="1" applyAlignment="1">
      <alignment horizontal="center" vertical="center" textRotation="90"/>
    </xf>
    <xf numFmtId="177" fontId="26" fillId="0" borderId="62" xfId="0" applyNumberFormat="1" applyFont="1" applyBorder="1" applyAlignment="1">
      <alignment textRotation="90"/>
    </xf>
    <xf numFmtId="178" fontId="26" fillId="0" borderId="62" xfId="0" applyNumberFormat="1" applyFont="1" applyBorder="1" applyAlignment="1">
      <alignment textRotation="90"/>
    </xf>
    <xf numFmtId="179" fontId="26" fillId="0" borderId="62" xfId="0" applyNumberFormat="1" applyFont="1" applyBorder="1" applyAlignment="1">
      <alignment textRotation="90"/>
    </xf>
    <xf numFmtId="0" fontId="0" fillId="0" borderId="0" xfId="0" applyFill="1"/>
    <xf numFmtId="0" fontId="42" fillId="23" borderId="66" xfId="0" applyFont="1" applyFill="1" applyBorder="1"/>
    <xf numFmtId="0" fontId="24" fillId="0" borderId="66" xfId="0" applyFont="1" applyBorder="1"/>
    <xf numFmtId="0" fontId="24" fillId="0" borderId="0" xfId="0" applyFont="1" applyBorder="1"/>
    <xf numFmtId="0" fontId="1" fillId="13" borderId="24" xfId="0" applyFon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>
      <alignment horizontal="center" vertical="center" textRotation="90"/>
    </xf>
    <xf numFmtId="0" fontId="45" fillId="3" borderId="7" xfId="0" applyFont="1" applyFill="1" applyBorder="1" applyAlignment="1" applyProtection="1">
      <alignment horizontal="center" vertical="center"/>
      <protection locked="0"/>
    </xf>
    <xf numFmtId="0" fontId="45" fillId="3" borderId="19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14" xfId="0" applyFont="1" applyBorder="1"/>
    <xf numFmtId="0" fontId="22" fillId="14" borderId="39" xfId="0" applyFont="1" applyFill="1" applyBorder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3" fillId="0" borderId="0" xfId="0" applyFont="1" applyAlignment="1">
      <alignment horizontal="center" vertical="center"/>
    </xf>
    <xf numFmtId="0" fontId="1" fillId="13" borderId="7" xfId="0" applyFont="1" applyFill="1" applyBorder="1" applyAlignment="1" applyProtection="1">
      <alignment horizontal="center" vertical="center"/>
      <protection locked="0"/>
    </xf>
    <xf numFmtId="0" fontId="1" fillId="13" borderId="9" xfId="0" applyFont="1" applyFill="1" applyBorder="1" applyAlignment="1" applyProtection="1">
      <alignment horizontal="center" vertical="center"/>
      <protection locked="0"/>
    </xf>
    <xf numFmtId="0" fontId="1" fillId="13" borderId="7" xfId="0" applyFont="1" applyFill="1" applyBorder="1" applyAlignment="1">
      <alignment horizontal="center" vertical="center"/>
    </xf>
    <xf numFmtId="0" fontId="1" fillId="13" borderId="19" xfId="0" applyFont="1" applyFill="1" applyBorder="1" applyAlignment="1">
      <alignment horizontal="center" vertical="center"/>
    </xf>
    <xf numFmtId="0" fontId="45" fillId="13" borderId="22" xfId="0" applyFont="1" applyFill="1" applyBorder="1" applyAlignment="1" applyProtection="1">
      <alignment horizontal="center" vertical="center"/>
      <protection locked="0"/>
    </xf>
    <xf numFmtId="0" fontId="45" fillId="13" borderId="19" xfId="0" applyFont="1" applyFill="1" applyBorder="1" applyAlignment="1" applyProtection="1">
      <alignment horizontal="center" vertical="center"/>
      <protection locked="0"/>
    </xf>
    <xf numFmtId="0" fontId="1" fillId="13" borderId="2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11" borderId="8" xfId="0" applyFont="1" applyFill="1" applyBorder="1" applyAlignment="1" applyProtection="1">
      <alignment horizontal="center" vertical="center"/>
      <protection locked="0"/>
    </xf>
    <xf numFmtId="0" fontId="43" fillId="11" borderId="14" xfId="0" applyFont="1" applyFill="1" applyBorder="1" applyAlignment="1" applyProtection="1">
      <alignment horizontal="center" vertical="center"/>
      <protection locked="0"/>
    </xf>
    <xf numFmtId="0" fontId="23" fillId="14" borderId="13" xfId="0" applyFont="1" applyFill="1" applyBorder="1" applyAlignment="1" applyProtection="1">
      <alignment horizontal="center" vertical="center"/>
      <protection locked="0"/>
    </xf>
    <xf numFmtId="0" fontId="23" fillId="14" borderId="8" xfId="0" applyFont="1" applyFill="1" applyBorder="1" applyAlignment="1" applyProtection="1">
      <alignment horizontal="center" vertical="center"/>
      <protection locked="0"/>
    </xf>
    <xf numFmtId="0" fontId="23" fillId="14" borderId="14" xfId="0" applyFont="1" applyFill="1" applyBorder="1" applyAlignment="1" applyProtection="1">
      <alignment horizontal="center" vertical="center"/>
      <protection locked="0"/>
    </xf>
    <xf numFmtId="0" fontId="23" fillId="12" borderId="8" xfId="0" applyFont="1" applyFill="1" applyBorder="1" applyAlignment="1" applyProtection="1">
      <alignment horizontal="center" vertical="center"/>
      <protection locked="0"/>
    </xf>
    <xf numFmtId="0" fontId="23" fillId="15" borderId="13" xfId="0" applyFont="1" applyFill="1" applyBorder="1" applyAlignment="1" applyProtection="1">
      <alignment horizontal="center" vertical="center"/>
      <protection locked="0"/>
    </xf>
    <xf numFmtId="0" fontId="23" fillId="15" borderId="8" xfId="0" applyFont="1" applyFill="1" applyBorder="1" applyAlignment="1" applyProtection="1">
      <alignment horizontal="center" vertical="center"/>
      <protection locked="0"/>
    </xf>
    <xf numFmtId="0" fontId="23" fillId="15" borderId="14" xfId="0" applyFont="1" applyFill="1" applyBorder="1" applyAlignment="1" applyProtection="1">
      <alignment horizontal="center" vertical="center"/>
      <protection locked="0"/>
    </xf>
    <xf numFmtId="0" fontId="28" fillId="19" borderId="38" xfId="0" applyFont="1" applyFill="1" applyBorder="1" applyAlignment="1" applyProtection="1">
      <alignment horizontal="left"/>
      <protection locked="0"/>
    </xf>
    <xf numFmtId="0" fontId="0" fillId="19" borderId="0" xfId="0" applyFill="1" applyBorder="1" applyAlignment="1" applyProtection="1">
      <alignment horizontal="center"/>
      <protection locked="0"/>
    </xf>
    <xf numFmtId="0" fontId="0" fillId="12" borderId="0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43" fillId="11" borderId="1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25" fillId="14" borderId="29" xfId="0" applyFont="1" applyFill="1" applyBorder="1" applyAlignment="1" applyProtection="1">
      <alignment textRotation="90"/>
      <protection locked="0"/>
    </xf>
    <xf numFmtId="0" fontId="0" fillId="21" borderId="15" xfId="0" applyFill="1" applyBorder="1" applyProtection="1">
      <protection locked="0"/>
    </xf>
    <xf numFmtId="0" fontId="22" fillId="21" borderId="15" xfId="0" applyFont="1" applyFill="1" applyBorder="1" applyProtection="1">
      <protection locked="0"/>
    </xf>
    <xf numFmtId="0" fontId="22" fillId="6" borderId="0" xfId="0" applyFont="1" applyFill="1" applyProtection="1">
      <protection locked="0"/>
    </xf>
    <xf numFmtId="0" fontId="3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44" fillId="14" borderId="0" xfId="0" applyFont="1" applyFill="1" applyAlignment="1" applyProtection="1">
      <alignment horizontal="center"/>
      <protection locked="0"/>
    </xf>
    <xf numFmtId="0" fontId="54" fillId="0" borderId="0" xfId="0" applyFont="1"/>
    <xf numFmtId="0" fontId="55" fillId="0" borderId="0" xfId="0" applyFont="1"/>
    <xf numFmtId="0" fontId="0" fillId="0" borderId="3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0" xfId="0" applyBorder="1" applyProtection="1">
      <protection locked="0"/>
    </xf>
    <xf numFmtId="0" fontId="0" fillId="0" borderId="41" xfId="0" applyBorder="1" applyAlignment="1" applyProtection="1">
      <alignment horizontal="right"/>
      <protection locked="0"/>
    </xf>
    <xf numFmtId="0" fontId="0" fillId="0" borderId="4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8" xfId="0" applyBorder="1" applyProtection="1">
      <protection locked="0"/>
    </xf>
    <xf numFmtId="0" fontId="0" fillId="8" borderId="0" xfId="0" applyFill="1" applyProtection="1">
      <protection locked="0"/>
    </xf>
    <xf numFmtId="0" fontId="0" fillId="8" borderId="0" xfId="0" applyFill="1" applyAlignment="1" applyProtection="1">
      <alignment horizontal="right"/>
      <protection locked="0"/>
    </xf>
    <xf numFmtId="0" fontId="0" fillId="8" borderId="6" xfId="0" applyFill="1" applyBorder="1"/>
    <xf numFmtId="0" fontId="0" fillId="8" borderId="3" xfId="0" applyFill="1" applyBorder="1"/>
    <xf numFmtId="0" fontId="0" fillId="8" borderId="5" xfId="0" applyFill="1" applyBorder="1"/>
    <xf numFmtId="0" fontId="0" fillId="8" borderId="40" xfId="0" applyFill="1" applyBorder="1"/>
    <xf numFmtId="0" fontId="0" fillId="8" borderId="41" xfId="0" applyFill="1" applyBorder="1"/>
    <xf numFmtId="0" fontId="0" fillId="8" borderId="30" xfId="0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5" fillId="8" borderId="7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5" fillId="8" borderId="0" xfId="0" applyFont="1" applyFill="1" applyAlignment="1">
      <alignment wrapText="1"/>
    </xf>
    <xf numFmtId="0" fontId="56" fillId="8" borderId="0" xfId="0" applyFont="1" applyFill="1" applyAlignment="1">
      <alignment horizontal="right" wrapText="1"/>
    </xf>
    <xf numFmtId="0" fontId="45" fillId="3" borderId="26" xfId="0" applyFont="1" applyFill="1" applyBorder="1" applyAlignment="1" applyProtection="1">
      <alignment horizontal="center" vertical="center"/>
      <protection locked="0"/>
    </xf>
    <xf numFmtId="0" fontId="45" fillId="2" borderId="13" xfId="0" applyFont="1" applyFill="1" applyBorder="1" applyAlignment="1" applyProtection="1">
      <alignment horizontal="center" vertical="center"/>
      <protection locked="0"/>
    </xf>
    <xf numFmtId="0" fontId="28" fillId="12" borderId="13" xfId="0" applyFont="1" applyFill="1" applyBorder="1" applyAlignment="1"/>
    <xf numFmtId="0" fontId="28" fillId="12" borderId="14" xfId="0" applyFont="1" applyFill="1" applyBorder="1" applyAlignment="1"/>
    <xf numFmtId="0" fontId="0" fillId="12" borderId="8" xfId="0" applyFill="1" applyBorder="1" applyAlignment="1"/>
    <xf numFmtId="0" fontId="0" fillId="12" borderId="14" xfId="0" applyFill="1" applyBorder="1" applyAlignment="1"/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29" fillId="8" borderId="8" xfId="0" applyFont="1" applyFill="1" applyBorder="1" applyAlignment="1">
      <alignment horizontal="center"/>
    </xf>
    <xf numFmtId="0" fontId="29" fillId="8" borderId="14" xfId="0" applyFont="1" applyFill="1" applyBorder="1" applyAlignment="1">
      <alignment horizontal="center"/>
    </xf>
    <xf numFmtId="0" fontId="28" fillId="11" borderId="13" xfId="0" applyFont="1" applyFill="1" applyBorder="1" applyAlignment="1"/>
    <xf numFmtId="0" fontId="28" fillId="11" borderId="14" xfId="0" applyFont="1" applyFill="1" applyBorder="1" applyAlignment="1"/>
    <xf numFmtId="0" fontId="0" fillId="11" borderId="8" xfId="0" applyFill="1" applyBorder="1" applyAlignment="1"/>
    <xf numFmtId="0" fontId="0" fillId="11" borderId="14" xfId="0" applyFill="1" applyBorder="1" applyAlignment="1"/>
    <xf numFmtId="0" fontId="22" fillId="0" borderId="40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30" xfId="0" applyFont="1" applyBorder="1" applyAlignment="1">
      <alignment horizontal="center" wrapText="1"/>
    </xf>
    <xf numFmtId="0" fontId="0" fillId="15" borderId="40" xfId="0" applyFill="1" applyBorder="1" applyAlignment="1">
      <alignment horizontal="center"/>
    </xf>
    <xf numFmtId="0" fontId="0" fillId="15" borderId="41" xfId="0" applyFill="1" applyBorder="1" applyAlignment="1">
      <alignment horizontal="center"/>
    </xf>
    <xf numFmtId="0" fontId="0" fillId="15" borderId="30" xfId="0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0" fillId="12" borderId="38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23" xfId="0" applyFont="1" applyBorder="1" applyAlignment="1">
      <alignment textRotation="255" wrapText="1"/>
    </xf>
    <xf numFmtId="0" fontId="21" fillId="0" borderId="37" xfId="0" applyFont="1" applyBorder="1" applyAlignment="1">
      <alignment textRotation="255" wrapText="1"/>
    </xf>
    <xf numFmtId="0" fontId="21" fillId="0" borderId="39" xfId="0" applyFont="1" applyBorder="1" applyAlignment="1">
      <alignment textRotation="255" wrapText="1"/>
    </xf>
    <xf numFmtId="0" fontId="0" fillId="11" borderId="38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22" fillId="0" borderId="0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23" xfId="0" applyFont="1" applyBorder="1" applyAlignment="1">
      <alignment horizontal="right"/>
    </xf>
    <xf numFmtId="2" fontId="29" fillId="14" borderId="8" xfId="0" applyNumberFormat="1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25" fillId="20" borderId="13" xfId="0" applyFont="1" applyFill="1" applyBorder="1" applyAlignment="1">
      <alignment horizontal="center"/>
    </xf>
    <xf numFmtId="0" fontId="25" fillId="20" borderId="8" xfId="0" applyFont="1" applyFill="1" applyBorder="1" applyAlignment="1">
      <alignment horizontal="center"/>
    </xf>
    <xf numFmtId="0" fontId="25" fillId="20" borderId="42" xfId="0" applyFont="1" applyFill="1" applyBorder="1" applyAlignment="1">
      <alignment horizontal="center"/>
    </xf>
    <xf numFmtId="0" fontId="23" fillId="0" borderId="13" xfId="0" applyFont="1" applyBorder="1" applyAlignment="1"/>
    <xf numFmtId="0" fontId="23" fillId="0" borderId="8" xfId="0" applyFont="1" applyBorder="1" applyAlignment="1"/>
    <xf numFmtId="0" fontId="23" fillId="0" borderId="14" xfId="0" applyFont="1" applyBorder="1" applyAlignment="1"/>
    <xf numFmtId="0" fontId="31" fillId="12" borderId="38" xfId="0" applyFont="1" applyFill="1" applyBorder="1" applyAlignment="1">
      <alignment horizontal="center" wrapText="1"/>
    </xf>
    <xf numFmtId="0" fontId="31" fillId="12" borderId="0" xfId="0" applyFont="1" applyFill="1" applyBorder="1" applyAlignment="1">
      <alignment horizont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3" xfId="0" applyBorder="1" applyAlignment="1">
      <alignment textRotation="255" wrapText="1"/>
    </xf>
    <xf numFmtId="0" fontId="30" fillId="18" borderId="13" xfId="0" applyFont="1" applyFill="1" applyBorder="1" applyAlignment="1">
      <alignment horizontal="center" wrapText="1"/>
    </xf>
    <xf numFmtId="0" fontId="27" fillId="18" borderId="8" xfId="0" applyFont="1" applyFill="1" applyBorder="1" applyAlignment="1">
      <alignment horizontal="center" wrapText="1"/>
    </xf>
    <xf numFmtId="0" fontId="27" fillId="18" borderId="14" xfId="0" applyFont="1" applyFill="1" applyBorder="1" applyAlignment="1">
      <alignment horizontal="center" wrapText="1"/>
    </xf>
    <xf numFmtId="0" fontId="49" fillId="18" borderId="13" xfId="0" applyFont="1" applyFill="1" applyBorder="1" applyAlignment="1">
      <alignment horizontal="center" wrapText="1"/>
    </xf>
    <xf numFmtId="0" fontId="49" fillId="18" borderId="8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0" fillId="19" borderId="13" xfId="0" applyFont="1" applyFill="1" applyBorder="1" applyAlignment="1" applyProtection="1">
      <alignment horizontal="center" wrapText="1"/>
      <protection locked="0"/>
    </xf>
    <xf numFmtId="0" fontId="27" fillId="19" borderId="8" xfId="0" applyFont="1" applyFill="1" applyBorder="1" applyAlignment="1" applyProtection="1">
      <alignment horizontal="center" wrapText="1"/>
      <protection locked="0"/>
    </xf>
    <xf numFmtId="0" fontId="27" fillId="19" borderId="14" xfId="0" applyFont="1" applyFill="1" applyBorder="1" applyAlignment="1" applyProtection="1">
      <alignment horizontal="center" wrapText="1"/>
      <protection locked="0"/>
    </xf>
    <xf numFmtId="0" fontId="49" fillId="19" borderId="13" xfId="0" applyFont="1" applyFill="1" applyBorder="1" applyAlignment="1">
      <alignment horizontal="center" wrapText="1"/>
    </xf>
    <xf numFmtId="0" fontId="49" fillId="19" borderId="8" xfId="0" applyFont="1" applyFill="1" applyBorder="1" applyAlignment="1">
      <alignment horizontal="center" wrapText="1"/>
    </xf>
    <xf numFmtId="0" fontId="0" fillId="19" borderId="14" xfId="0" applyFont="1" applyFill="1" applyBorder="1" applyAlignment="1">
      <alignment horizontal="center" wrapText="1"/>
    </xf>
    <xf numFmtId="0" fontId="31" fillId="11" borderId="38" xfId="0" applyFont="1" applyFill="1" applyBorder="1" applyAlignment="1">
      <alignment horizontal="center" wrapText="1"/>
    </xf>
    <xf numFmtId="0" fontId="31" fillId="11" borderId="0" xfId="0" applyFont="1" applyFill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49" fillId="17" borderId="13" xfId="0" applyFont="1" applyFill="1" applyBorder="1" applyAlignment="1">
      <alignment horizontal="center" wrapText="1"/>
    </xf>
    <xf numFmtId="0" fontId="49" fillId="17" borderId="8" xfId="0" applyFont="1" applyFill="1" applyBorder="1" applyAlignment="1">
      <alignment horizontal="center" wrapText="1"/>
    </xf>
    <xf numFmtId="0" fontId="0" fillId="17" borderId="14" xfId="0" applyFont="1" applyFill="1" applyBorder="1" applyAlignment="1">
      <alignment horizontal="center" wrapText="1"/>
    </xf>
    <xf numFmtId="0" fontId="0" fillId="0" borderId="0" xfId="0" applyAlignment="1"/>
    <xf numFmtId="0" fontId="0" fillId="0" borderId="23" xfId="0" applyBorder="1" applyAlignment="1"/>
    <xf numFmtId="0" fontId="30" fillId="17" borderId="13" xfId="0" applyFont="1" applyFill="1" applyBorder="1" applyAlignment="1">
      <alignment horizontal="center" wrapText="1"/>
    </xf>
    <xf numFmtId="0" fontId="27" fillId="17" borderId="8" xfId="0" applyFont="1" applyFill="1" applyBorder="1" applyAlignment="1">
      <alignment horizontal="center" wrapText="1"/>
    </xf>
    <xf numFmtId="0" fontId="27" fillId="17" borderId="14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 textRotation="90"/>
    </xf>
    <xf numFmtId="164" fontId="1" fillId="0" borderId="11" xfId="0" applyNumberFormat="1" applyFont="1" applyBorder="1" applyAlignment="1">
      <alignment horizontal="center" vertical="center" textRotation="90"/>
    </xf>
    <xf numFmtId="164" fontId="1" fillId="0" borderId="17" xfId="0" applyNumberFormat="1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 textRotation="90"/>
    </xf>
    <xf numFmtId="164" fontId="1" fillId="0" borderId="15" xfId="0" applyNumberFormat="1" applyFont="1" applyBorder="1" applyAlignment="1">
      <alignment horizontal="center" vertical="center" textRotation="90"/>
    </xf>
    <xf numFmtId="164" fontId="1" fillId="0" borderId="20" xfId="0" applyNumberFormat="1" applyFont="1" applyBorder="1" applyAlignment="1">
      <alignment horizontal="center" vertical="center" textRotation="90"/>
    </xf>
    <xf numFmtId="165" fontId="2" fillId="5" borderId="21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5" borderId="5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164" fontId="1" fillId="8" borderId="28" xfId="0" applyNumberFormat="1" applyFont="1" applyFill="1" applyBorder="1" applyAlignment="1">
      <alignment horizontal="center" vertical="center" textRotation="90"/>
    </xf>
    <xf numFmtId="164" fontId="1" fillId="8" borderId="11" xfId="0" applyNumberFormat="1" applyFont="1" applyFill="1" applyBorder="1" applyAlignment="1">
      <alignment horizontal="center" vertical="center" textRotation="90"/>
    </xf>
    <xf numFmtId="164" fontId="1" fillId="8" borderId="17" xfId="0" applyNumberFormat="1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19" borderId="6" xfId="0" applyFont="1" applyFill="1" applyBorder="1" applyAlignment="1">
      <alignment horizontal="center" vertical="center"/>
    </xf>
    <xf numFmtId="0" fontId="2" fillId="19" borderId="3" xfId="0" applyFont="1" applyFill="1" applyBorder="1" applyAlignment="1">
      <alignment horizontal="center" vertical="center"/>
    </xf>
    <xf numFmtId="0" fontId="2" fillId="19" borderId="5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5" xfId="0" applyFont="1" applyFill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6" fontId="1" fillId="0" borderId="13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66" fontId="2" fillId="6" borderId="21" xfId="0" applyNumberFormat="1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6" fontId="2" fillId="6" borderId="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" fontId="2" fillId="6" borderId="2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" fontId="45" fillId="0" borderId="4" xfId="0" applyNumberFormat="1" applyFont="1" applyBorder="1" applyAlignment="1">
      <alignment horizontal="center" vertical="center" textRotation="90"/>
    </xf>
    <xf numFmtId="1" fontId="45" fillId="0" borderId="11" xfId="0" applyNumberFormat="1" applyFont="1" applyBorder="1" applyAlignment="1">
      <alignment horizontal="center" vertical="center" textRotation="90"/>
    </xf>
    <xf numFmtId="1" fontId="45" fillId="0" borderId="17" xfId="0" applyNumberFormat="1" applyFont="1" applyBorder="1" applyAlignment="1">
      <alignment horizontal="center" vertical="center" textRotation="90"/>
    </xf>
    <xf numFmtId="0" fontId="2" fillId="5" borderId="13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 textRotation="90"/>
    </xf>
    <xf numFmtId="165" fontId="1" fillId="0" borderId="1" xfId="0" applyNumberFormat="1" applyFont="1" applyBorder="1" applyAlignment="1">
      <alignment horizontal="center" vertical="center" textRotation="90"/>
    </xf>
    <xf numFmtId="165" fontId="1" fillId="0" borderId="2" xfId="0" applyNumberFormat="1" applyFont="1" applyBorder="1" applyAlignment="1">
      <alignment horizontal="center" vertical="center" textRotation="90"/>
    </xf>
    <xf numFmtId="2" fontId="1" fillId="0" borderId="16" xfId="0" applyNumberFormat="1" applyFont="1" applyBorder="1" applyAlignment="1">
      <alignment horizontal="center" vertical="center" textRotation="90"/>
    </xf>
    <xf numFmtId="2" fontId="1" fillId="0" borderId="15" xfId="0" applyNumberFormat="1" applyFont="1" applyBorder="1" applyAlignment="1">
      <alignment horizontal="center" vertical="center" textRotation="90"/>
    </xf>
    <xf numFmtId="2" fontId="1" fillId="0" borderId="20" xfId="0" applyNumberFormat="1" applyFont="1" applyBorder="1" applyAlignment="1">
      <alignment horizontal="center" vertical="center" textRotation="90"/>
    </xf>
    <xf numFmtId="166" fontId="1" fillId="0" borderId="16" xfId="0" applyNumberFormat="1" applyFont="1" applyBorder="1" applyAlignment="1">
      <alignment horizontal="center" vertical="center" textRotation="90"/>
    </xf>
    <xf numFmtId="166" fontId="1" fillId="0" borderId="15" xfId="0" applyNumberFormat="1" applyFont="1" applyBorder="1" applyAlignment="1">
      <alignment horizontal="center" vertical="center" textRotation="90"/>
    </xf>
    <xf numFmtId="166" fontId="1" fillId="0" borderId="20" xfId="0" applyNumberFormat="1" applyFont="1" applyBorder="1" applyAlignment="1">
      <alignment horizontal="center" vertical="center" textRotation="90"/>
    </xf>
    <xf numFmtId="1" fontId="1" fillId="0" borderId="16" xfId="0" applyNumberFormat="1" applyFont="1" applyBorder="1" applyAlignment="1">
      <alignment horizontal="center" vertical="center" textRotation="90"/>
    </xf>
    <xf numFmtId="1" fontId="1" fillId="0" borderId="15" xfId="0" applyNumberFormat="1" applyFont="1" applyBorder="1" applyAlignment="1">
      <alignment horizontal="center" vertical="center" textRotation="90"/>
    </xf>
    <xf numFmtId="1" fontId="1" fillId="0" borderId="20" xfId="0" applyNumberFormat="1" applyFont="1" applyBorder="1" applyAlignment="1">
      <alignment horizontal="center" vertical="center" textRotation="90"/>
    </xf>
    <xf numFmtId="1" fontId="1" fillId="0" borderId="4" xfId="0" applyNumberFormat="1" applyFont="1" applyBorder="1" applyAlignment="1">
      <alignment horizontal="center" vertical="center" textRotation="90"/>
    </xf>
    <xf numFmtId="1" fontId="1" fillId="0" borderId="11" xfId="0" applyNumberFormat="1" applyFont="1" applyBorder="1" applyAlignment="1">
      <alignment horizontal="center" vertical="center" textRotation="90"/>
    </xf>
    <xf numFmtId="1" fontId="1" fillId="0" borderId="17" xfId="0" applyNumberFormat="1" applyFont="1" applyBorder="1" applyAlignment="1">
      <alignment horizontal="center" vertical="center" textRotation="90"/>
    </xf>
    <xf numFmtId="164" fontId="1" fillId="8" borderId="4" xfId="0" applyNumberFormat="1" applyFont="1" applyFill="1" applyBorder="1" applyAlignment="1">
      <alignment horizontal="center" vertical="center" textRotation="90"/>
    </xf>
    <xf numFmtId="164" fontId="1" fillId="0" borderId="16" xfId="0" applyNumberFormat="1" applyFont="1" applyBorder="1" applyAlignment="1">
      <alignment horizontal="center" vertical="center" textRotation="90"/>
    </xf>
    <xf numFmtId="164" fontId="1" fillId="0" borderId="12" xfId="0" applyNumberFormat="1" applyFont="1" applyBorder="1" applyAlignment="1">
      <alignment horizontal="center" vertical="center" textRotation="90"/>
    </xf>
    <xf numFmtId="164" fontId="1" fillId="0" borderId="1" xfId="0" applyNumberFormat="1" applyFont="1" applyBorder="1" applyAlignment="1">
      <alignment horizontal="center" vertical="center" textRotation="90"/>
    </xf>
    <xf numFmtId="164" fontId="1" fillId="0" borderId="2" xfId="0" applyNumberFormat="1" applyFont="1" applyBorder="1" applyAlignment="1">
      <alignment horizontal="center" vertical="center" textRotation="90"/>
    </xf>
    <xf numFmtId="164" fontId="1" fillId="0" borderId="4" xfId="0" applyNumberFormat="1" applyFont="1" applyBorder="1" applyAlignment="1">
      <alignment horizontal="center" vertical="center" textRotation="90"/>
    </xf>
    <xf numFmtId="165" fontId="1" fillId="0" borderId="16" xfId="0" applyNumberFormat="1" applyFont="1" applyBorder="1" applyAlignment="1">
      <alignment horizontal="center" vertical="center" textRotation="90"/>
    </xf>
    <xf numFmtId="165" fontId="1" fillId="0" borderId="15" xfId="0" applyNumberFormat="1" applyFont="1" applyBorder="1" applyAlignment="1">
      <alignment horizontal="center" vertical="center" textRotation="90"/>
    </xf>
    <xf numFmtId="165" fontId="1" fillId="0" borderId="20" xfId="0" applyNumberFormat="1" applyFont="1" applyBorder="1" applyAlignment="1">
      <alignment horizontal="center" vertical="center" textRotation="90"/>
    </xf>
    <xf numFmtId="165" fontId="1" fillId="0" borderId="4" xfId="0" applyNumberFormat="1" applyFont="1" applyBorder="1" applyAlignment="1">
      <alignment horizontal="center" vertical="center" textRotation="90"/>
    </xf>
    <xf numFmtId="165" fontId="1" fillId="0" borderId="11" xfId="0" applyNumberFormat="1" applyFont="1" applyBorder="1" applyAlignment="1">
      <alignment horizontal="center" vertical="center" textRotation="90"/>
    </xf>
    <xf numFmtId="165" fontId="1" fillId="0" borderId="17" xfId="0" applyNumberFormat="1" applyFont="1" applyBorder="1" applyAlignment="1">
      <alignment horizontal="center" vertical="center" textRotation="90"/>
    </xf>
    <xf numFmtId="2" fontId="1" fillId="0" borderId="12" xfId="0" applyNumberFormat="1" applyFont="1" applyBorder="1" applyAlignment="1">
      <alignment horizontal="center" vertical="center" textRotation="90"/>
    </xf>
    <xf numFmtId="2" fontId="1" fillId="0" borderId="1" xfId="0" applyNumberFormat="1" applyFont="1" applyBorder="1" applyAlignment="1">
      <alignment horizontal="center" vertical="center" textRotation="90"/>
    </xf>
    <xf numFmtId="2" fontId="1" fillId="0" borderId="2" xfId="0" applyNumberFormat="1" applyFont="1" applyBorder="1" applyAlignment="1">
      <alignment horizontal="center" vertical="center" textRotation="90"/>
    </xf>
    <xf numFmtId="2" fontId="1" fillId="0" borderId="4" xfId="0" applyNumberFormat="1" applyFont="1" applyBorder="1" applyAlignment="1">
      <alignment horizontal="center" vertical="center" textRotation="90"/>
    </xf>
    <xf numFmtId="2" fontId="1" fillId="0" borderId="11" xfId="0" applyNumberFormat="1" applyFont="1" applyBorder="1" applyAlignment="1">
      <alignment horizontal="center" vertical="center" textRotation="90"/>
    </xf>
    <xf numFmtId="2" fontId="1" fillId="0" borderId="17" xfId="0" applyNumberFormat="1" applyFont="1" applyBorder="1" applyAlignment="1">
      <alignment horizontal="center" vertical="center" textRotation="90"/>
    </xf>
    <xf numFmtId="0" fontId="39" fillId="22" borderId="67" xfId="0" applyNumberFormat="1" applyFont="1" applyFill="1" applyBorder="1" applyAlignment="1"/>
    <xf numFmtId="0" fontId="0" fillId="22" borderId="67" xfId="0" applyNumberFormat="1" applyFill="1" applyBorder="1" applyAlignment="1"/>
    <xf numFmtId="0" fontId="39" fillId="22" borderId="67" xfId="0" applyFont="1" applyFill="1" applyBorder="1" applyAlignment="1"/>
    <xf numFmtId="0" fontId="0" fillId="22" borderId="67" xfId="0" applyFill="1" applyBorder="1" applyAlignment="1"/>
    <xf numFmtId="180" fontId="39" fillId="22" borderId="66" xfId="0" applyNumberFormat="1" applyFont="1" applyFill="1" applyBorder="1" applyAlignment="1"/>
    <xf numFmtId="180" fontId="0" fillId="22" borderId="66" xfId="0" applyNumberFormat="1" applyFill="1" applyBorder="1" applyAlignment="1"/>
    <xf numFmtId="0" fontId="37" fillId="24" borderId="0" xfId="0" applyFont="1" applyFill="1" applyBorder="1" applyAlignment="1"/>
    <xf numFmtId="0" fontId="37" fillId="24" borderId="58" xfId="0" applyFont="1" applyFill="1" applyBorder="1" applyAlignment="1"/>
    <xf numFmtId="0" fontId="36" fillId="23" borderId="51" xfId="0" applyFont="1" applyFill="1" applyBorder="1" applyAlignment="1">
      <alignment horizontal="center"/>
    </xf>
    <xf numFmtId="0" fontId="36" fillId="23" borderId="52" xfId="0" applyFont="1" applyFill="1" applyBorder="1" applyAlignment="1">
      <alignment horizontal="center"/>
    </xf>
    <xf numFmtId="0" fontId="0" fillId="25" borderId="57" xfId="0" applyFill="1" applyBorder="1" applyAlignment="1"/>
    <xf numFmtId="0" fontId="0" fillId="25" borderId="0" xfId="0" applyFill="1" applyBorder="1" applyAlignment="1"/>
    <xf numFmtId="0" fontId="0" fillId="26" borderId="0" xfId="0" applyFill="1" applyBorder="1" applyAlignment="1"/>
    <xf numFmtId="0" fontId="0" fillId="25" borderId="58" xfId="0" applyFill="1" applyBorder="1" applyAlignment="1"/>
    <xf numFmtId="0" fontId="0" fillId="27" borderId="59" xfId="0" applyFill="1" applyBorder="1" applyAlignment="1"/>
    <xf numFmtId="0" fontId="0" fillId="27" borderId="60" xfId="0" applyFill="1" applyBorder="1" applyAlignment="1"/>
    <xf numFmtId="0" fontId="0" fillId="27" borderId="61" xfId="0" applyFill="1" applyBorder="1" applyAlignment="1"/>
    <xf numFmtId="0" fontId="3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22" borderId="0" xfId="0" applyFont="1" applyFill="1" applyAlignment="1">
      <alignment textRotation="255"/>
    </xf>
    <xf numFmtId="0" fontId="26" fillId="22" borderId="0" xfId="0" applyFont="1" applyFill="1" applyAlignment="1"/>
    <xf numFmtId="0" fontId="36" fillId="23" borderId="53" xfId="0" applyFont="1" applyFill="1" applyBorder="1" applyAlignment="1">
      <alignment horizontal="center"/>
    </xf>
    <xf numFmtId="0" fontId="37" fillId="24" borderId="54" xfId="0" applyFont="1" applyFill="1" applyBorder="1" applyAlignment="1"/>
    <xf numFmtId="0" fontId="37" fillId="24" borderId="55" xfId="0" applyFont="1" applyFill="1" applyBorder="1" applyAlignment="1"/>
    <xf numFmtId="0" fontId="37" fillId="24" borderId="56" xfId="0" applyFont="1" applyFill="1" applyBorder="1" applyAlignment="1"/>
    <xf numFmtId="0" fontId="37" fillId="24" borderId="57" xfId="0" applyFont="1" applyFill="1" applyBorder="1" applyAlignment="1"/>
    <xf numFmtId="0" fontId="0" fillId="25" borderId="0" xfId="0" applyFill="1" applyAlignment="1"/>
    <xf numFmtId="0" fontId="0" fillId="26" borderId="0" xfId="0" applyFill="1" applyAlignment="1"/>
    <xf numFmtId="0" fontId="37" fillId="24" borderId="51" xfId="0" applyFont="1" applyFill="1" applyBorder="1" applyAlignment="1"/>
    <xf numFmtId="0" fontId="37" fillId="24" borderId="52" xfId="0" applyFont="1" applyFill="1" applyBorder="1" applyAlignment="1"/>
    <xf numFmtId="0" fontId="0" fillId="26" borderId="57" xfId="0" applyFill="1" applyBorder="1" applyAlignment="1"/>
  </cellXfs>
  <cellStyles count="1">
    <cellStyle name="Normal" xfId="0" builtinId="0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30480</xdr:colOff>
      <xdr:row>0</xdr:row>
      <xdr:rowOff>45720</xdr:rowOff>
    </xdr:from>
    <xdr:to>
      <xdr:col>44</xdr:col>
      <xdr:colOff>350520</xdr:colOff>
      <xdr:row>15</xdr:row>
      <xdr:rowOff>60960</xdr:rowOff>
    </xdr:to>
    <xdr:pic>
      <xdr:nvPicPr>
        <xdr:cNvPr id="2" name="Picture 1" descr="exempleBNR_Codage_vitesse_ARINC4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1380" y="45720"/>
          <a:ext cx="6659880" cy="4069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0</xdr:row>
      <xdr:rowOff>0</xdr:rowOff>
    </xdr:from>
    <xdr:to>
      <xdr:col>43</xdr:col>
      <xdr:colOff>91440</xdr:colOff>
      <xdr:row>15</xdr:row>
      <xdr:rowOff>137160</xdr:rowOff>
    </xdr:to>
    <xdr:pic>
      <xdr:nvPicPr>
        <xdr:cNvPr id="2" name="Picture 1" descr="arinc_033word10910MHZdescrip_0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10900" y="0"/>
          <a:ext cx="5638800" cy="3444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1943100</xdr:colOff>
      <xdr:row>4</xdr:row>
      <xdr:rowOff>495300</xdr:rowOff>
    </xdr:from>
    <xdr:to>
      <xdr:col>23</xdr:col>
      <xdr:colOff>175260</xdr:colOff>
      <xdr:row>29</xdr:row>
      <xdr:rowOff>60960</xdr:rowOff>
    </xdr:to>
    <xdr:pic>
      <xdr:nvPicPr>
        <xdr:cNvPr id="2" name="Image 1" descr="label_arinc_sac7-35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5780" y="1272540"/>
          <a:ext cx="9060180" cy="4815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0</xdr:row>
      <xdr:rowOff>0</xdr:rowOff>
    </xdr:from>
    <xdr:to>
      <xdr:col>8</xdr:col>
      <xdr:colOff>464820</xdr:colOff>
      <xdr:row>9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9340" y="0"/>
          <a:ext cx="2324100" cy="2141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563880</xdr:colOff>
      <xdr:row>8</xdr:row>
      <xdr:rowOff>167640</xdr:rowOff>
    </xdr:from>
    <xdr:to>
      <xdr:col>9</xdr:col>
      <xdr:colOff>449580</xdr:colOff>
      <xdr:row>19</xdr:row>
      <xdr:rowOff>144780</xdr:rowOff>
    </xdr:to>
    <xdr:pic>
      <xdr:nvPicPr>
        <xdr:cNvPr id="3" name="Picture 2" descr="ddrm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95060" y="2011680"/>
          <a:ext cx="3055620" cy="2194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30480</xdr:colOff>
      <xdr:row>21</xdr:row>
      <xdr:rowOff>0</xdr:rowOff>
    </xdr:from>
    <xdr:to>
      <xdr:col>8</xdr:col>
      <xdr:colOff>556421</xdr:colOff>
      <xdr:row>32</xdr:row>
      <xdr:rowOff>116273</xdr:rowOff>
    </xdr:to>
    <xdr:pic>
      <xdr:nvPicPr>
        <xdr:cNvPr id="4" name="Picture 5" descr="instrument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54140" y="4457700"/>
          <a:ext cx="2110901" cy="2333693"/>
        </a:xfrm>
        <a:prstGeom prst="rect">
          <a:avLst/>
        </a:prstGeom>
        <a:gradFill rotWithShape="1">
          <a:gsLst>
            <a:gs pos="0">
              <a:srgbClr val="808080">
                <a:gamma/>
                <a:shade val="46275"/>
                <a:invGamma/>
                <a:alpha val="39000"/>
              </a:srgbClr>
            </a:gs>
            <a:gs pos="50000">
              <a:srgbClr val="808080"/>
            </a:gs>
            <a:gs pos="100000">
              <a:srgbClr val="808080">
                <a:gamma/>
                <a:shade val="46275"/>
                <a:invGamma/>
                <a:alpha val="39000"/>
              </a:srgbClr>
            </a:gs>
          </a:gsLst>
          <a:lin ang="540000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11</xdr:row>
      <xdr:rowOff>121920</xdr:rowOff>
    </xdr:from>
    <xdr:to>
      <xdr:col>4</xdr:col>
      <xdr:colOff>624840</xdr:colOff>
      <xdr:row>22</xdr:row>
      <xdr:rowOff>53340</xdr:rowOff>
    </xdr:to>
    <xdr:pic>
      <xdr:nvPicPr>
        <xdr:cNvPr id="2" name="Picture 3" descr="connect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27420" y="2308860"/>
          <a:ext cx="2232660" cy="2202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99060</xdr:colOff>
      <xdr:row>34</xdr:row>
      <xdr:rowOff>0</xdr:rowOff>
    </xdr:from>
    <xdr:to>
      <xdr:col>3</xdr:col>
      <xdr:colOff>0</xdr:colOff>
      <xdr:row>65</xdr:row>
      <xdr:rowOff>144780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060" y="7170420"/>
          <a:ext cx="5928360" cy="5852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21"/>
  <sheetViews>
    <sheetView workbookViewId="0">
      <selection activeCell="J23" sqref="J23"/>
    </sheetView>
  </sheetViews>
  <sheetFormatPr baseColWidth="10" defaultRowHeight="14.4" x14ac:dyDescent="0.55000000000000004"/>
  <cols>
    <col min="3" max="34" width="3.41796875" customWidth="1"/>
    <col min="35" max="35" width="4.26171875" customWidth="1"/>
    <col min="36" max="36" width="22.83984375" customWidth="1"/>
    <col min="259" max="290" width="3.41796875" customWidth="1"/>
    <col min="291" max="291" width="4.26171875" customWidth="1"/>
    <col min="292" max="292" width="22.83984375" customWidth="1"/>
    <col min="515" max="546" width="3.41796875" customWidth="1"/>
    <col min="547" max="547" width="4.26171875" customWidth="1"/>
    <col min="548" max="548" width="22.83984375" customWidth="1"/>
    <col min="771" max="802" width="3.41796875" customWidth="1"/>
    <col min="803" max="803" width="4.26171875" customWidth="1"/>
    <col min="804" max="804" width="22.83984375" customWidth="1"/>
    <col min="1027" max="1058" width="3.41796875" customWidth="1"/>
    <col min="1059" max="1059" width="4.26171875" customWidth="1"/>
    <col min="1060" max="1060" width="22.83984375" customWidth="1"/>
    <col min="1283" max="1314" width="3.41796875" customWidth="1"/>
    <col min="1315" max="1315" width="4.26171875" customWidth="1"/>
    <col min="1316" max="1316" width="22.83984375" customWidth="1"/>
    <col min="1539" max="1570" width="3.41796875" customWidth="1"/>
    <col min="1571" max="1571" width="4.26171875" customWidth="1"/>
    <col min="1572" max="1572" width="22.83984375" customWidth="1"/>
    <col min="1795" max="1826" width="3.41796875" customWidth="1"/>
    <col min="1827" max="1827" width="4.26171875" customWidth="1"/>
    <col min="1828" max="1828" width="22.83984375" customWidth="1"/>
    <col min="2051" max="2082" width="3.41796875" customWidth="1"/>
    <col min="2083" max="2083" width="4.26171875" customWidth="1"/>
    <col min="2084" max="2084" width="22.83984375" customWidth="1"/>
    <col min="2307" max="2338" width="3.41796875" customWidth="1"/>
    <col min="2339" max="2339" width="4.26171875" customWidth="1"/>
    <col min="2340" max="2340" width="22.83984375" customWidth="1"/>
    <col min="2563" max="2594" width="3.41796875" customWidth="1"/>
    <col min="2595" max="2595" width="4.26171875" customWidth="1"/>
    <col min="2596" max="2596" width="22.83984375" customWidth="1"/>
    <col min="2819" max="2850" width="3.41796875" customWidth="1"/>
    <col min="2851" max="2851" width="4.26171875" customWidth="1"/>
    <col min="2852" max="2852" width="22.83984375" customWidth="1"/>
    <col min="3075" max="3106" width="3.41796875" customWidth="1"/>
    <col min="3107" max="3107" width="4.26171875" customWidth="1"/>
    <col min="3108" max="3108" width="22.83984375" customWidth="1"/>
    <col min="3331" max="3362" width="3.41796875" customWidth="1"/>
    <col min="3363" max="3363" width="4.26171875" customWidth="1"/>
    <col min="3364" max="3364" width="22.83984375" customWidth="1"/>
    <col min="3587" max="3618" width="3.41796875" customWidth="1"/>
    <col min="3619" max="3619" width="4.26171875" customWidth="1"/>
    <col min="3620" max="3620" width="22.83984375" customWidth="1"/>
    <col min="3843" max="3874" width="3.41796875" customWidth="1"/>
    <col min="3875" max="3875" width="4.26171875" customWidth="1"/>
    <col min="3876" max="3876" width="22.83984375" customWidth="1"/>
    <col min="4099" max="4130" width="3.41796875" customWidth="1"/>
    <col min="4131" max="4131" width="4.26171875" customWidth="1"/>
    <col min="4132" max="4132" width="22.83984375" customWidth="1"/>
    <col min="4355" max="4386" width="3.41796875" customWidth="1"/>
    <col min="4387" max="4387" width="4.26171875" customWidth="1"/>
    <col min="4388" max="4388" width="22.83984375" customWidth="1"/>
    <col min="4611" max="4642" width="3.41796875" customWidth="1"/>
    <col min="4643" max="4643" width="4.26171875" customWidth="1"/>
    <col min="4644" max="4644" width="22.83984375" customWidth="1"/>
    <col min="4867" max="4898" width="3.41796875" customWidth="1"/>
    <col min="4899" max="4899" width="4.26171875" customWidth="1"/>
    <col min="4900" max="4900" width="22.83984375" customWidth="1"/>
    <col min="5123" max="5154" width="3.41796875" customWidth="1"/>
    <col min="5155" max="5155" width="4.26171875" customWidth="1"/>
    <col min="5156" max="5156" width="22.83984375" customWidth="1"/>
    <col min="5379" max="5410" width="3.41796875" customWidth="1"/>
    <col min="5411" max="5411" width="4.26171875" customWidth="1"/>
    <col min="5412" max="5412" width="22.83984375" customWidth="1"/>
    <col min="5635" max="5666" width="3.41796875" customWidth="1"/>
    <col min="5667" max="5667" width="4.26171875" customWidth="1"/>
    <col min="5668" max="5668" width="22.83984375" customWidth="1"/>
    <col min="5891" max="5922" width="3.41796875" customWidth="1"/>
    <col min="5923" max="5923" width="4.26171875" customWidth="1"/>
    <col min="5924" max="5924" width="22.83984375" customWidth="1"/>
    <col min="6147" max="6178" width="3.41796875" customWidth="1"/>
    <col min="6179" max="6179" width="4.26171875" customWidth="1"/>
    <col min="6180" max="6180" width="22.83984375" customWidth="1"/>
    <col min="6403" max="6434" width="3.41796875" customWidth="1"/>
    <col min="6435" max="6435" width="4.26171875" customWidth="1"/>
    <col min="6436" max="6436" width="22.83984375" customWidth="1"/>
    <col min="6659" max="6690" width="3.41796875" customWidth="1"/>
    <col min="6691" max="6691" width="4.26171875" customWidth="1"/>
    <col min="6692" max="6692" width="22.83984375" customWidth="1"/>
    <col min="6915" max="6946" width="3.41796875" customWidth="1"/>
    <col min="6947" max="6947" width="4.26171875" customWidth="1"/>
    <col min="6948" max="6948" width="22.83984375" customWidth="1"/>
    <col min="7171" max="7202" width="3.41796875" customWidth="1"/>
    <col min="7203" max="7203" width="4.26171875" customWidth="1"/>
    <col min="7204" max="7204" width="22.83984375" customWidth="1"/>
    <col min="7427" max="7458" width="3.41796875" customWidth="1"/>
    <col min="7459" max="7459" width="4.26171875" customWidth="1"/>
    <col min="7460" max="7460" width="22.83984375" customWidth="1"/>
    <col min="7683" max="7714" width="3.41796875" customWidth="1"/>
    <col min="7715" max="7715" width="4.26171875" customWidth="1"/>
    <col min="7716" max="7716" width="22.83984375" customWidth="1"/>
    <col min="7939" max="7970" width="3.41796875" customWidth="1"/>
    <col min="7971" max="7971" width="4.26171875" customWidth="1"/>
    <col min="7972" max="7972" width="22.83984375" customWidth="1"/>
    <col min="8195" max="8226" width="3.41796875" customWidth="1"/>
    <col min="8227" max="8227" width="4.26171875" customWidth="1"/>
    <col min="8228" max="8228" width="22.83984375" customWidth="1"/>
    <col min="8451" max="8482" width="3.41796875" customWidth="1"/>
    <col min="8483" max="8483" width="4.26171875" customWidth="1"/>
    <col min="8484" max="8484" width="22.83984375" customWidth="1"/>
    <col min="8707" max="8738" width="3.41796875" customWidth="1"/>
    <col min="8739" max="8739" width="4.26171875" customWidth="1"/>
    <col min="8740" max="8740" width="22.83984375" customWidth="1"/>
    <col min="8963" max="8994" width="3.41796875" customWidth="1"/>
    <col min="8995" max="8995" width="4.26171875" customWidth="1"/>
    <col min="8996" max="8996" width="22.83984375" customWidth="1"/>
    <col min="9219" max="9250" width="3.41796875" customWidth="1"/>
    <col min="9251" max="9251" width="4.26171875" customWidth="1"/>
    <col min="9252" max="9252" width="22.83984375" customWidth="1"/>
    <col min="9475" max="9506" width="3.41796875" customWidth="1"/>
    <col min="9507" max="9507" width="4.26171875" customWidth="1"/>
    <col min="9508" max="9508" width="22.83984375" customWidth="1"/>
    <col min="9731" max="9762" width="3.41796875" customWidth="1"/>
    <col min="9763" max="9763" width="4.26171875" customWidth="1"/>
    <col min="9764" max="9764" width="22.83984375" customWidth="1"/>
    <col min="9987" max="10018" width="3.41796875" customWidth="1"/>
    <col min="10019" max="10019" width="4.26171875" customWidth="1"/>
    <col min="10020" max="10020" width="22.83984375" customWidth="1"/>
    <col min="10243" max="10274" width="3.41796875" customWidth="1"/>
    <col min="10275" max="10275" width="4.26171875" customWidth="1"/>
    <col min="10276" max="10276" width="22.83984375" customWidth="1"/>
    <col min="10499" max="10530" width="3.41796875" customWidth="1"/>
    <col min="10531" max="10531" width="4.26171875" customWidth="1"/>
    <col min="10532" max="10532" width="22.83984375" customWidth="1"/>
    <col min="10755" max="10786" width="3.41796875" customWidth="1"/>
    <col min="10787" max="10787" width="4.26171875" customWidth="1"/>
    <col min="10788" max="10788" width="22.83984375" customWidth="1"/>
    <col min="11011" max="11042" width="3.41796875" customWidth="1"/>
    <col min="11043" max="11043" width="4.26171875" customWidth="1"/>
    <col min="11044" max="11044" width="22.83984375" customWidth="1"/>
    <col min="11267" max="11298" width="3.41796875" customWidth="1"/>
    <col min="11299" max="11299" width="4.26171875" customWidth="1"/>
    <col min="11300" max="11300" width="22.83984375" customWidth="1"/>
    <col min="11523" max="11554" width="3.41796875" customWidth="1"/>
    <col min="11555" max="11555" width="4.26171875" customWidth="1"/>
    <col min="11556" max="11556" width="22.83984375" customWidth="1"/>
    <col min="11779" max="11810" width="3.41796875" customWidth="1"/>
    <col min="11811" max="11811" width="4.26171875" customWidth="1"/>
    <col min="11812" max="11812" width="22.83984375" customWidth="1"/>
    <col min="12035" max="12066" width="3.41796875" customWidth="1"/>
    <col min="12067" max="12067" width="4.26171875" customWidth="1"/>
    <col min="12068" max="12068" width="22.83984375" customWidth="1"/>
    <col min="12291" max="12322" width="3.41796875" customWidth="1"/>
    <col min="12323" max="12323" width="4.26171875" customWidth="1"/>
    <col min="12324" max="12324" width="22.83984375" customWidth="1"/>
    <col min="12547" max="12578" width="3.41796875" customWidth="1"/>
    <col min="12579" max="12579" width="4.26171875" customWidth="1"/>
    <col min="12580" max="12580" width="22.83984375" customWidth="1"/>
    <col min="12803" max="12834" width="3.41796875" customWidth="1"/>
    <col min="12835" max="12835" width="4.26171875" customWidth="1"/>
    <col min="12836" max="12836" width="22.83984375" customWidth="1"/>
    <col min="13059" max="13090" width="3.41796875" customWidth="1"/>
    <col min="13091" max="13091" width="4.26171875" customWidth="1"/>
    <col min="13092" max="13092" width="22.83984375" customWidth="1"/>
    <col min="13315" max="13346" width="3.41796875" customWidth="1"/>
    <col min="13347" max="13347" width="4.26171875" customWidth="1"/>
    <col min="13348" max="13348" width="22.83984375" customWidth="1"/>
    <col min="13571" max="13602" width="3.41796875" customWidth="1"/>
    <col min="13603" max="13603" width="4.26171875" customWidth="1"/>
    <col min="13604" max="13604" width="22.83984375" customWidth="1"/>
    <col min="13827" max="13858" width="3.41796875" customWidth="1"/>
    <col min="13859" max="13859" width="4.26171875" customWidth="1"/>
    <col min="13860" max="13860" width="22.83984375" customWidth="1"/>
    <col min="14083" max="14114" width="3.41796875" customWidth="1"/>
    <col min="14115" max="14115" width="4.26171875" customWidth="1"/>
    <col min="14116" max="14116" width="22.83984375" customWidth="1"/>
    <col min="14339" max="14370" width="3.41796875" customWidth="1"/>
    <col min="14371" max="14371" width="4.26171875" customWidth="1"/>
    <col min="14372" max="14372" width="22.83984375" customWidth="1"/>
    <col min="14595" max="14626" width="3.41796875" customWidth="1"/>
    <col min="14627" max="14627" width="4.26171875" customWidth="1"/>
    <col min="14628" max="14628" width="22.83984375" customWidth="1"/>
    <col min="14851" max="14882" width="3.41796875" customWidth="1"/>
    <col min="14883" max="14883" width="4.26171875" customWidth="1"/>
    <col min="14884" max="14884" width="22.83984375" customWidth="1"/>
    <col min="15107" max="15138" width="3.41796875" customWidth="1"/>
    <col min="15139" max="15139" width="4.26171875" customWidth="1"/>
    <col min="15140" max="15140" width="22.83984375" customWidth="1"/>
    <col min="15363" max="15394" width="3.41796875" customWidth="1"/>
    <col min="15395" max="15395" width="4.26171875" customWidth="1"/>
    <col min="15396" max="15396" width="22.83984375" customWidth="1"/>
    <col min="15619" max="15650" width="3.41796875" customWidth="1"/>
    <col min="15651" max="15651" width="4.26171875" customWidth="1"/>
    <col min="15652" max="15652" width="22.83984375" customWidth="1"/>
    <col min="15875" max="15906" width="3.41796875" customWidth="1"/>
    <col min="15907" max="15907" width="4.26171875" customWidth="1"/>
    <col min="15908" max="15908" width="22.83984375" customWidth="1"/>
    <col min="16131" max="16162" width="3.41796875" customWidth="1"/>
    <col min="16163" max="16163" width="4.26171875" customWidth="1"/>
    <col min="16164" max="16164" width="22.83984375" customWidth="1"/>
  </cols>
  <sheetData>
    <row r="1" spans="1:36" ht="57" customHeight="1" x14ac:dyDescent="0.85">
      <c r="A1" s="393" t="s">
        <v>319</v>
      </c>
      <c r="B1" s="393"/>
      <c r="C1" s="394" t="s">
        <v>320</v>
      </c>
      <c r="D1" s="114"/>
      <c r="E1" s="115"/>
      <c r="F1" s="395" t="s">
        <v>321</v>
      </c>
      <c r="G1" s="116" t="s">
        <v>322</v>
      </c>
      <c r="X1" s="117" t="s">
        <v>323</v>
      </c>
      <c r="Y1" s="118"/>
      <c r="Z1" s="119"/>
      <c r="AA1" s="120" t="s">
        <v>324</v>
      </c>
      <c r="AB1" s="121"/>
      <c r="AC1" s="121"/>
      <c r="AD1" s="121"/>
      <c r="AE1" s="121"/>
      <c r="AF1" s="121"/>
      <c r="AG1" s="121"/>
      <c r="AH1" s="122" t="s">
        <v>325</v>
      </c>
    </row>
    <row r="2" spans="1:36" ht="26.25" customHeight="1" thickBot="1" x14ac:dyDescent="0.6">
      <c r="B2" t="s">
        <v>326</v>
      </c>
      <c r="C2" s="394"/>
      <c r="D2" s="397" t="s">
        <v>11</v>
      </c>
      <c r="E2" s="398"/>
      <c r="F2" s="396"/>
      <c r="G2" s="399" t="s">
        <v>327</v>
      </c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1"/>
      <c r="Y2" s="391" t="s">
        <v>1</v>
      </c>
      <c r="Z2" s="392"/>
      <c r="AA2" s="382" t="s">
        <v>328</v>
      </c>
      <c r="AB2" s="383"/>
      <c r="AC2" s="383"/>
      <c r="AD2" s="383"/>
      <c r="AE2" s="383"/>
      <c r="AF2" s="383"/>
      <c r="AG2" s="383"/>
      <c r="AH2" s="384"/>
    </row>
    <row r="3" spans="1:36" s="123" customFormat="1" ht="14.7" thickBot="1" x14ac:dyDescent="0.6">
      <c r="B3" s="123" t="s">
        <v>329</v>
      </c>
      <c r="C3" s="124">
        <v>32</v>
      </c>
      <c r="D3" s="123">
        <v>31</v>
      </c>
      <c r="E3" s="123">
        <v>30</v>
      </c>
      <c r="F3" s="125">
        <v>29</v>
      </c>
      <c r="G3" s="123">
        <v>28</v>
      </c>
      <c r="H3" s="123">
        <v>27</v>
      </c>
      <c r="I3" s="123">
        <v>26</v>
      </c>
      <c r="J3" s="123">
        <v>25</v>
      </c>
      <c r="K3" s="123">
        <v>24</v>
      </c>
      <c r="L3" s="123">
        <v>23</v>
      </c>
      <c r="M3" s="123">
        <v>22</v>
      </c>
      <c r="N3" s="123">
        <v>21</v>
      </c>
      <c r="O3" s="123">
        <v>20</v>
      </c>
      <c r="P3" s="123">
        <v>19</v>
      </c>
      <c r="Q3" s="123">
        <v>18</v>
      </c>
      <c r="R3" s="123">
        <v>17</v>
      </c>
      <c r="S3" s="123">
        <v>16</v>
      </c>
      <c r="T3" s="123">
        <v>15</v>
      </c>
      <c r="U3" s="123">
        <v>14</v>
      </c>
      <c r="V3" s="123">
        <v>13</v>
      </c>
      <c r="W3" s="123">
        <v>12</v>
      </c>
      <c r="X3" s="123">
        <v>11</v>
      </c>
      <c r="Y3" s="126">
        <v>10</v>
      </c>
      <c r="Z3" s="127">
        <v>9</v>
      </c>
      <c r="AA3" s="128">
        <v>8</v>
      </c>
      <c r="AB3" s="129">
        <v>7</v>
      </c>
      <c r="AC3" s="129">
        <v>6</v>
      </c>
      <c r="AD3" s="129">
        <v>5</v>
      </c>
      <c r="AE3" s="129">
        <v>4</v>
      </c>
      <c r="AF3" s="129">
        <v>3</v>
      </c>
      <c r="AG3" s="129">
        <v>2</v>
      </c>
      <c r="AH3" s="130">
        <v>1</v>
      </c>
    </row>
    <row r="4" spans="1:36" s="131" customFormat="1" ht="21.75" customHeight="1" thickBot="1" x14ac:dyDescent="0.6">
      <c r="B4" s="132" t="s">
        <v>330</v>
      </c>
      <c r="C4" s="133">
        <f>IF(2*ROUNDUP(SUM(D4:AH4)/2,0)&gt;SUM(D4:AH4),0,1)</f>
        <v>0</v>
      </c>
      <c r="D4" s="310">
        <v>1</v>
      </c>
      <c r="E4" s="311">
        <v>1</v>
      </c>
      <c r="F4" s="329">
        <v>1</v>
      </c>
      <c r="G4" s="313">
        <v>1</v>
      </c>
      <c r="H4" s="313">
        <v>1</v>
      </c>
      <c r="I4" s="313">
        <v>1</v>
      </c>
      <c r="J4" s="313">
        <v>0</v>
      </c>
      <c r="K4" s="313">
        <v>0</v>
      </c>
      <c r="L4" s="313">
        <v>0</v>
      </c>
      <c r="M4" s="313">
        <v>0</v>
      </c>
      <c r="N4" s="313">
        <v>0</v>
      </c>
      <c r="O4" s="313">
        <v>0</v>
      </c>
      <c r="P4" s="313">
        <v>0</v>
      </c>
      <c r="Q4" s="313">
        <v>0</v>
      </c>
      <c r="R4" s="313">
        <v>0</v>
      </c>
      <c r="S4" s="313">
        <v>0</v>
      </c>
      <c r="T4" s="313">
        <v>0</v>
      </c>
      <c r="U4" s="313">
        <v>0</v>
      </c>
      <c r="V4" s="313">
        <v>0</v>
      </c>
      <c r="W4" s="313">
        <v>0</v>
      </c>
      <c r="X4" s="314">
        <v>0</v>
      </c>
      <c r="Y4" s="330">
        <v>0</v>
      </c>
      <c r="Z4" s="330">
        <v>0</v>
      </c>
      <c r="AA4" s="316">
        <v>0</v>
      </c>
      <c r="AB4" s="317">
        <v>0</v>
      </c>
      <c r="AC4" s="317">
        <v>0</v>
      </c>
      <c r="AD4" s="317">
        <v>0</v>
      </c>
      <c r="AE4" s="317">
        <v>1</v>
      </c>
      <c r="AF4" s="317">
        <v>0</v>
      </c>
      <c r="AG4" s="317">
        <v>1</v>
      </c>
      <c r="AH4" s="318">
        <v>1</v>
      </c>
      <c r="AJ4" s="134" t="s">
        <v>331</v>
      </c>
    </row>
    <row r="5" spans="1:36" x14ac:dyDescent="0.55000000000000004">
      <c r="B5" t="s">
        <v>332</v>
      </c>
      <c r="F5" s="135"/>
      <c r="AA5" s="136">
        <v>1</v>
      </c>
      <c r="AB5" s="137">
        <f>AA5*2</f>
        <v>2</v>
      </c>
      <c r="AC5" s="138">
        <f>AB5*2</f>
        <v>4</v>
      </c>
      <c r="AD5" s="136">
        <v>1</v>
      </c>
      <c r="AE5" s="137">
        <f>AD5*2</f>
        <v>2</v>
      </c>
      <c r="AF5" s="138">
        <f>AE5*2</f>
        <v>4</v>
      </c>
      <c r="AG5" s="136">
        <v>1</v>
      </c>
      <c r="AH5" s="138">
        <f>AG5*2</f>
        <v>2</v>
      </c>
    </row>
    <row r="6" spans="1:36" ht="14.7" thickBot="1" x14ac:dyDescent="0.6">
      <c r="F6" s="294" t="s">
        <v>333</v>
      </c>
      <c r="AA6" s="385">
        <f>AA4*AA5+AB4*AB5+AC4*AC5</f>
        <v>0</v>
      </c>
      <c r="AB6" s="386"/>
      <c r="AC6" s="387"/>
      <c r="AD6" s="385">
        <f>AD4*AD5+AE4*AE5+AF4*AF5</f>
        <v>2</v>
      </c>
      <c r="AE6" s="386"/>
      <c r="AF6" s="387"/>
      <c r="AG6" s="385">
        <f>AG4*AG5+AH4*AH5</f>
        <v>3</v>
      </c>
      <c r="AH6" s="387"/>
    </row>
    <row r="7" spans="1:36" ht="51" customHeight="1" thickBot="1" x14ac:dyDescent="0.6">
      <c r="B7" t="s">
        <v>334</v>
      </c>
      <c r="F7" s="331">
        <v>-180</v>
      </c>
      <c r="G7" s="139">
        <f>-F7/2</f>
        <v>90</v>
      </c>
      <c r="H7" s="139">
        <f>G7/2</f>
        <v>45</v>
      </c>
      <c r="I7" s="139">
        <f t="shared" ref="I7:X7" si="0">H7/2</f>
        <v>22.5</v>
      </c>
      <c r="J7" s="139">
        <f t="shared" si="0"/>
        <v>11.25</v>
      </c>
      <c r="K7" s="139">
        <f t="shared" si="0"/>
        <v>5.625</v>
      </c>
      <c r="L7" s="139">
        <f t="shared" si="0"/>
        <v>2.8125</v>
      </c>
      <c r="M7" s="139">
        <f t="shared" si="0"/>
        <v>1.40625</v>
      </c>
      <c r="N7" s="139">
        <f t="shared" si="0"/>
        <v>0.703125</v>
      </c>
      <c r="O7" s="139">
        <f t="shared" si="0"/>
        <v>0.3515625</v>
      </c>
      <c r="P7" s="139">
        <f t="shared" si="0"/>
        <v>0.17578125</v>
      </c>
      <c r="Q7" s="139">
        <f t="shared" si="0"/>
        <v>8.7890625E-2</v>
      </c>
      <c r="R7" s="139">
        <f t="shared" si="0"/>
        <v>4.39453125E-2</v>
      </c>
      <c r="S7" s="139">
        <f t="shared" si="0"/>
        <v>2.197265625E-2</v>
      </c>
      <c r="T7" s="139">
        <f t="shared" si="0"/>
        <v>1.0986328125E-2</v>
      </c>
      <c r="U7" s="139">
        <f t="shared" si="0"/>
        <v>5.4931640625E-3</v>
      </c>
      <c r="V7" s="139">
        <f t="shared" si="0"/>
        <v>2.74658203125E-3</v>
      </c>
      <c r="W7" s="139">
        <f t="shared" si="0"/>
        <v>1.373291015625E-3</v>
      </c>
      <c r="X7" s="139">
        <f t="shared" si="0"/>
        <v>6.866455078125E-4</v>
      </c>
    </row>
    <row r="8" spans="1:36" s="140" customFormat="1" ht="10.5" thickBot="1" x14ac:dyDescent="0.4">
      <c r="C8" s="140">
        <f t="shared" ref="C8:H8" si="1">D8*2</f>
        <v>128</v>
      </c>
      <c r="D8" s="140">
        <f t="shared" si="1"/>
        <v>64</v>
      </c>
      <c r="E8" s="140">
        <f t="shared" si="1"/>
        <v>32</v>
      </c>
      <c r="F8" s="140">
        <f t="shared" si="1"/>
        <v>16</v>
      </c>
      <c r="G8" s="140">
        <f t="shared" si="1"/>
        <v>8</v>
      </c>
      <c r="H8" s="140">
        <f t="shared" si="1"/>
        <v>4</v>
      </c>
      <c r="I8" s="140">
        <f>J8*2</f>
        <v>2</v>
      </c>
      <c r="J8" s="140">
        <v>1</v>
      </c>
      <c r="K8" s="140">
        <f t="shared" ref="K8:P8" si="2">L8*2</f>
        <v>128</v>
      </c>
      <c r="L8" s="140">
        <f t="shared" si="2"/>
        <v>64</v>
      </c>
      <c r="M8" s="140">
        <f t="shared" si="2"/>
        <v>32</v>
      </c>
      <c r="N8" s="140">
        <f t="shared" si="2"/>
        <v>16</v>
      </c>
      <c r="O8" s="140">
        <f t="shared" si="2"/>
        <v>8</v>
      </c>
      <c r="P8" s="140">
        <f t="shared" si="2"/>
        <v>4</v>
      </c>
      <c r="Q8" s="140">
        <f>R8*2</f>
        <v>2</v>
      </c>
      <c r="R8" s="140">
        <v>1</v>
      </c>
      <c r="S8" s="140">
        <f t="shared" ref="S8:X8" si="3">T8*2</f>
        <v>128</v>
      </c>
      <c r="T8" s="140">
        <f t="shared" si="3"/>
        <v>64</v>
      </c>
      <c r="U8" s="140">
        <f t="shared" si="3"/>
        <v>32</v>
      </c>
      <c r="V8" s="140">
        <f t="shared" si="3"/>
        <v>16</v>
      </c>
      <c r="W8" s="140">
        <f t="shared" si="3"/>
        <v>8</v>
      </c>
      <c r="X8" s="140">
        <f t="shared" si="3"/>
        <v>4</v>
      </c>
      <c r="Y8" s="140">
        <f>Z8*2</f>
        <v>2</v>
      </c>
      <c r="Z8" s="140">
        <v>1</v>
      </c>
      <c r="AA8" s="140">
        <f t="shared" ref="AA8:AF8" si="4">AB8*2</f>
        <v>128</v>
      </c>
      <c r="AB8" s="140">
        <f t="shared" si="4"/>
        <v>64</v>
      </c>
      <c r="AC8" s="140">
        <f t="shared" si="4"/>
        <v>32</v>
      </c>
      <c r="AD8" s="140">
        <f t="shared" si="4"/>
        <v>16</v>
      </c>
      <c r="AE8" s="140">
        <f t="shared" si="4"/>
        <v>8</v>
      </c>
      <c r="AF8" s="140">
        <f t="shared" si="4"/>
        <v>4</v>
      </c>
      <c r="AG8" s="140">
        <f>AH8*2</f>
        <v>2</v>
      </c>
      <c r="AH8" s="140">
        <v>1</v>
      </c>
    </row>
    <row r="9" spans="1:36" ht="17.7" thickBot="1" x14ac:dyDescent="0.6">
      <c r="B9" t="s">
        <v>41</v>
      </c>
      <c r="C9" s="388" t="str">
        <f>DEC2HEX(C10,2)</f>
        <v>7E</v>
      </c>
      <c r="D9" s="389"/>
      <c r="E9" s="389"/>
      <c r="F9" s="389"/>
      <c r="G9" s="389"/>
      <c r="H9" s="389"/>
      <c r="I9" s="389"/>
      <c r="J9" s="390"/>
      <c r="K9" s="388" t="str">
        <f>DEC2HEX(K10,2)</f>
        <v>00</v>
      </c>
      <c r="L9" s="389"/>
      <c r="M9" s="389"/>
      <c r="N9" s="389"/>
      <c r="O9" s="389"/>
      <c r="P9" s="389"/>
      <c r="Q9" s="389"/>
      <c r="R9" s="390"/>
      <c r="S9" s="388" t="str">
        <f>DEC2HEX(S10,2)</f>
        <v>00</v>
      </c>
      <c r="T9" s="389"/>
      <c r="U9" s="389"/>
      <c r="V9" s="389"/>
      <c r="W9" s="389"/>
      <c r="X9" s="389"/>
      <c r="Y9" s="389"/>
      <c r="Z9" s="390"/>
      <c r="AA9" s="388" t="str">
        <f>DEC2HEX(AA10,2)</f>
        <v>0B</v>
      </c>
      <c r="AB9" s="389"/>
      <c r="AC9" s="389"/>
      <c r="AD9" s="389"/>
      <c r="AE9" s="389"/>
      <c r="AF9" s="389"/>
      <c r="AG9" s="389"/>
      <c r="AH9" s="390"/>
    </row>
    <row r="10" spans="1:36" ht="14.7" thickBot="1" x14ac:dyDescent="0.6">
      <c r="B10" t="s">
        <v>335</v>
      </c>
      <c r="C10" s="370">
        <f>SUMPRODUCT(C8:J8,C4:J4)</f>
        <v>126</v>
      </c>
      <c r="D10" s="371"/>
      <c r="E10" s="371"/>
      <c r="F10" s="371"/>
      <c r="G10" s="371"/>
      <c r="H10" s="371"/>
      <c r="I10" s="371"/>
      <c r="J10" s="372"/>
      <c r="K10" s="370">
        <f>SUMPRODUCT(K8:R8,K4:R4)</f>
        <v>0</v>
      </c>
      <c r="L10" s="371"/>
      <c r="M10" s="371"/>
      <c r="N10" s="371"/>
      <c r="O10" s="371"/>
      <c r="P10" s="371"/>
      <c r="Q10" s="371"/>
      <c r="R10" s="372"/>
      <c r="S10" s="370">
        <f>SUMPRODUCT(S8:Z8,S4:Z4)</f>
        <v>0</v>
      </c>
      <c r="T10" s="371"/>
      <c r="U10" s="371"/>
      <c r="V10" s="371"/>
      <c r="W10" s="371"/>
      <c r="X10" s="371"/>
      <c r="Y10" s="371"/>
      <c r="Z10" s="372"/>
      <c r="AA10" s="373">
        <f>SUMPRODUCT(AA8:AH8,AA4:AH4)</f>
        <v>11</v>
      </c>
      <c r="AB10" s="374"/>
      <c r="AC10" s="374"/>
      <c r="AD10" s="374"/>
      <c r="AE10" s="374"/>
      <c r="AF10" s="374"/>
      <c r="AG10" s="374"/>
      <c r="AH10" s="375"/>
    </row>
    <row r="11" spans="1:36" ht="14.7" thickBot="1" x14ac:dyDescent="0.6"/>
    <row r="12" spans="1:36" ht="18" thickBot="1" x14ac:dyDescent="0.65">
      <c r="AA12" s="141" t="s">
        <v>336</v>
      </c>
      <c r="AB12" s="141"/>
      <c r="AC12" s="142"/>
      <c r="AD12" s="143">
        <f>AG6</f>
        <v>3</v>
      </c>
      <c r="AE12" s="143">
        <f>AD6</f>
        <v>2</v>
      </c>
      <c r="AF12" s="144">
        <f>AA6</f>
        <v>0</v>
      </c>
    </row>
    <row r="14" spans="1:36" ht="14.7" thickBot="1" x14ac:dyDescent="0.6"/>
    <row r="15" spans="1:36" ht="20.399999999999999" thickBot="1" x14ac:dyDescent="0.75">
      <c r="C15" s="145"/>
      <c r="D15" s="146"/>
      <c r="E15" s="146"/>
      <c r="F15" s="147"/>
      <c r="G15" s="148"/>
      <c r="H15" s="148"/>
      <c r="I15" s="149" t="s">
        <v>337</v>
      </c>
      <c r="J15" s="148"/>
      <c r="K15" s="376">
        <f>SUMPRODUCT(F7:X7,F4:X4)</f>
        <v>-22.5</v>
      </c>
      <c r="L15" s="376"/>
      <c r="M15" s="376"/>
      <c r="N15" s="376"/>
      <c r="O15" s="376"/>
      <c r="P15" s="376"/>
      <c r="Q15" s="376"/>
      <c r="R15" s="377"/>
    </row>
    <row r="16" spans="1:36" ht="14.7" thickBot="1" x14ac:dyDescent="0.6"/>
    <row r="17" spans="1:7" ht="18" thickBot="1" x14ac:dyDescent="0.65">
      <c r="C17" s="378" t="s">
        <v>11</v>
      </c>
      <c r="D17" s="379"/>
      <c r="E17" s="378">
        <f>E4+2*D4</f>
        <v>3</v>
      </c>
      <c r="F17" s="380"/>
      <c r="G17" s="381"/>
    </row>
    <row r="18" spans="1:7" ht="18" thickBot="1" x14ac:dyDescent="0.65">
      <c r="C18" s="366" t="s">
        <v>1</v>
      </c>
      <c r="D18" s="367"/>
      <c r="E18" s="366">
        <f>Z4+2*Y4</f>
        <v>0</v>
      </c>
      <c r="F18" s="368"/>
      <c r="G18" s="369"/>
    </row>
    <row r="21" spans="1:7" x14ac:dyDescent="0.55000000000000004">
      <c r="A21" s="295" t="s">
        <v>436</v>
      </c>
    </row>
  </sheetData>
  <mergeCells count="23">
    <mergeCell ref="A1:B1"/>
    <mergeCell ref="C1:C2"/>
    <mergeCell ref="F1:F2"/>
    <mergeCell ref="D2:E2"/>
    <mergeCell ref="G2:X2"/>
    <mergeCell ref="AA10:AH10"/>
    <mergeCell ref="K15:R15"/>
    <mergeCell ref="C17:D17"/>
    <mergeCell ref="E17:G17"/>
    <mergeCell ref="AA2:AH2"/>
    <mergeCell ref="AA6:AC6"/>
    <mergeCell ref="AD6:AF6"/>
    <mergeCell ref="AG6:AH6"/>
    <mergeCell ref="C9:J9"/>
    <mergeCell ref="K9:R9"/>
    <mergeCell ref="S9:Z9"/>
    <mergeCell ref="AA9:AH9"/>
    <mergeCell ref="Y2:Z2"/>
    <mergeCell ref="C18:D18"/>
    <mergeCell ref="E18:G18"/>
    <mergeCell ref="C10:J10"/>
    <mergeCell ref="K10:R10"/>
    <mergeCell ref="S10:Z1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topLeftCell="E1"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29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27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50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51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20.100000000000001" x14ac:dyDescent="0.7">
      <c r="A7" s="1"/>
      <c r="B7" s="3" t="s">
        <v>440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53">
        <f>IF(AD11=0,AD25,IF(AD11=1,-AD25,""))</f>
        <v>90</v>
      </c>
      <c r="AA10" s="454"/>
      <c r="AB10" s="454"/>
      <c r="AC10" s="455"/>
      <c r="AD10" s="21" t="s">
        <v>9</v>
      </c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0</v>
      </c>
      <c r="C11" s="30">
        <v>0</v>
      </c>
      <c r="D11" s="31">
        <v>1</v>
      </c>
      <c r="E11" s="29">
        <v>0</v>
      </c>
      <c r="F11" s="30">
        <v>1</v>
      </c>
      <c r="G11" s="31">
        <v>0</v>
      </c>
      <c r="H11" s="29">
        <v>1</v>
      </c>
      <c r="I11" s="32">
        <v>1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61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1">
        <v>1</v>
      </c>
      <c r="AD11" s="33">
        <v>0</v>
      </c>
      <c r="AE11" s="29">
        <v>1</v>
      </c>
      <c r="AF11" s="31">
        <v>1</v>
      </c>
      <c r="AG11" s="25">
        <f>IF(SUM(B11:AF11)=0,0,IF(ISEVEN(COUNTIFS(B11:AF11,"=1")),1,0))</f>
        <v>0</v>
      </c>
    </row>
    <row r="12" spans="1:33" ht="20.100000000000001" customHeight="1" thickBot="1" x14ac:dyDescent="0.6">
      <c r="A12" s="64" t="s">
        <v>19</v>
      </c>
      <c r="B12" s="441">
        <f>SUM(B25:C25)</f>
        <v>0</v>
      </c>
      <c r="C12" s="443"/>
      <c r="D12" s="441">
        <f>SUM(D25:F25)</f>
        <v>5</v>
      </c>
      <c r="E12" s="442"/>
      <c r="F12" s="443"/>
      <c r="G12" s="441">
        <f>SUM(G25:I25)</f>
        <v>3</v>
      </c>
      <c r="H12" s="442"/>
      <c r="I12" s="443"/>
      <c r="J12" s="15"/>
      <c r="K12" s="15"/>
      <c r="L12" s="513"/>
      <c r="M12" s="512"/>
      <c r="N12" s="512"/>
      <c r="O12" s="512"/>
      <c r="P12" s="512">
        <v>1.0999999999999999E-2</v>
      </c>
      <c r="Q12" s="512">
        <v>2.1999999999999999E-2</v>
      </c>
      <c r="R12" s="512">
        <v>4.3900000000000002E-2</v>
      </c>
      <c r="S12" s="512">
        <v>8.7900000000000006E-2</v>
      </c>
      <c r="T12" s="512">
        <v>0.17580000000000001</v>
      </c>
      <c r="U12" s="512">
        <v>0.35160000000000002</v>
      </c>
      <c r="V12" s="512">
        <v>0.70309999999999995</v>
      </c>
      <c r="W12" s="512">
        <v>1.4061999999999999</v>
      </c>
      <c r="X12" s="512">
        <v>2.8125</v>
      </c>
      <c r="Y12" s="512">
        <v>5.625</v>
      </c>
      <c r="Z12" s="512">
        <v>11.25</v>
      </c>
      <c r="AA12" s="512">
        <v>22.5</v>
      </c>
      <c r="AB12" s="512">
        <v>45</v>
      </c>
      <c r="AC12" s="516">
        <v>90</v>
      </c>
      <c r="AD12" s="511">
        <v>-180</v>
      </c>
      <c r="AE12" s="64"/>
      <c r="AF12" s="64"/>
      <c r="AG12" s="64"/>
    </row>
    <row r="13" spans="1:33" ht="15.75" customHeight="1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51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45"/>
      <c r="AD13" s="459"/>
      <c r="AE13" s="64"/>
      <c r="AF13" s="64"/>
      <c r="AG13" s="64"/>
    </row>
    <row r="14" spans="1:33" ht="21.75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515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46"/>
      <c r="AD14" s="460"/>
      <c r="AE14" s="64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0</v>
      </c>
      <c r="C18" s="11">
        <f t="shared" ref="C18:I18" si="1">C11</f>
        <v>0</v>
      </c>
      <c r="D18" s="11">
        <f t="shared" si="1"/>
        <v>1</v>
      </c>
      <c r="E18" s="11">
        <f t="shared" si="1"/>
        <v>0</v>
      </c>
      <c r="F18" s="11">
        <f t="shared" si="1"/>
        <v>1</v>
      </c>
      <c r="G18" s="11">
        <f t="shared" si="1"/>
        <v>0</v>
      </c>
      <c r="H18" s="11">
        <f t="shared" si="1"/>
        <v>1</v>
      </c>
      <c r="I18" s="11">
        <f t="shared" si="1"/>
        <v>1</v>
      </c>
      <c r="J18" s="11">
        <f>IF(J11=0,0, IF(J11=1,1,""))</f>
        <v>0</v>
      </c>
      <c r="K18" s="13">
        <f>IF(K11=0,0, IF(K11=1,1,""))</f>
        <v>0</v>
      </c>
      <c r="L18" s="38">
        <f t="shared" ref="L18:AC18" si="2">IF($AD$11=0,L11,L28)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3">
        <f t="shared" si="2"/>
        <v>1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0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 t="shared" ref="B20" si="3">DEC2HEX(B18*1+C18*2+D18*4+E18*8)</f>
        <v>4</v>
      </c>
      <c r="C20" s="442"/>
      <c r="D20" s="442"/>
      <c r="E20" s="443"/>
      <c r="F20" s="441" t="str">
        <f t="shared" ref="F20" si="4">DEC2HEX(F18*1+G18*2+H18*4+I18*8)</f>
        <v>D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0</v>
      </c>
      <c r="S20" s="442"/>
      <c r="T20" s="442"/>
      <c r="U20" s="443"/>
      <c r="V20" s="441" t="str">
        <f t="shared" ref="V20" si="8">DEC2HEX(V18*1+W18*2+X18*4+Y18*8)</f>
        <v>0</v>
      </c>
      <c r="W20" s="442"/>
      <c r="X20" s="442"/>
      <c r="Y20" s="443"/>
      <c r="Z20" s="441" t="str">
        <f t="shared" ref="Z20" si="9">DEC2HEX(Z18*1+AA18*2+AB18*4+AC18*8)</f>
        <v>8</v>
      </c>
      <c r="AA20" s="442"/>
      <c r="AB20" s="442"/>
      <c r="AC20" s="443"/>
      <c r="AD20" s="441" t="str">
        <f t="shared" ref="AD20" si="10">DEC2HEX(AD18*1+AE18*2+AF18*4+AG18*8)</f>
        <v>6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 t="str">
        <f>IF(ISBLANK(L12),"",L16)</f>
        <v/>
      </c>
      <c r="M24" s="2" t="str">
        <f t="shared" ref="M24:O24" si="11">IF(ISBLANK(M12),"",M16)</f>
        <v/>
      </c>
      <c r="N24" s="2" t="str">
        <f t="shared" si="11"/>
        <v/>
      </c>
      <c r="O24" s="2" t="str">
        <f t="shared" si="11"/>
        <v/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3" s="10" customFormat="1" ht="39.75" customHeight="1" x14ac:dyDescent="0.55000000000000004">
      <c r="A25"/>
      <c r="B25" s="2">
        <f>IF(B11=0,0, IF(B11=1,2,""))</f>
        <v>0</v>
      </c>
      <c r="C25" s="2">
        <f>IF(C11=0,0, IF(C11=1,1,""))</f>
        <v>0</v>
      </c>
      <c r="D25" s="2">
        <f>IF(D11=0,0, IF(D11=1,4,""))</f>
        <v>4</v>
      </c>
      <c r="E25" s="2">
        <f>IF(E11=0,0, IF(E11=1,2,""))</f>
        <v>0</v>
      </c>
      <c r="F25" s="2">
        <f>IF(F11=0,0, IF(F11=1,1,""))</f>
        <v>1</v>
      </c>
      <c r="G25" s="2">
        <f>IF(G11=0,0, IF(G11=1,4,""))</f>
        <v>0</v>
      </c>
      <c r="H25" s="2">
        <f>IF(H11=0,0, IF(H11=1,2,""))</f>
        <v>2</v>
      </c>
      <c r="I25" s="2">
        <f>IF(I11=0,0, IF(I11=1,1,""))</f>
        <v>1</v>
      </c>
      <c r="L25" s="16"/>
      <c r="M25" s="16" t="str">
        <f t="shared" ref="M25:AE25" si="12">IF(ISBLANK(M12),"",IF(M11=1,M12,0))</f>
        <v/>
      </c>
      <c r="N25" s="16" t="str">
        <f t="shared" si="12"/>
        <v/>
      </c>
      <c r="O25" s="16" t="str">
        <f t="shared" si="12"/>
        <v/>
      </c>
      <c r="P25" s="59">
        <f t="shared" si="12"/>
        <v>0</v>
      </c>
      <c r="Q25" s="59">
        <f t="shared" si="12"/>
        <v>0</v>
      </c>
      <c r="R25" s="59">
        <f t="shared" si="12"/>
        <v>0</v>
      </c>
      <c r="S25" s="59">
        <f t="shared" si="12"/>
        <v>0</v>
      </c>
      <c r="T25" s="59">
        <f t="shared" si="12"/>
        <v>0</v>
      </c>
      <c r="U25" s="59">
        <f t="shared" si="12"/>
        <v>0</v>
      </c>
      <c r="V25" s="59">
        <f t="shared" si="12"/>
        <v>0</v>
      </c>
      <c r="W25" s="59">
        <f t="shared" si="12"/>
        <v>0</v>
      </c>
      <c r="X25" s="59">
        <f t="shared" si="12"/>
        <v>0</v>
      </c>
      <c r="Y25" s="59">
        <f t="shared" si="12"/>
        <v>0</v>
      </c>
      <c r="Z25" s="59">
        <f t="shared" si="12"/>
        <v>0</v>
      </c>
      <c r="AA25" s="59">
        <f t="shared" si="12"/>
        <v>0</v>
      </c>
      <c r="AB25" s="59">
        <f t="shared" si="12"/>
        <v>0</v>
      </c>
      <c r="AC25" s="59">
        <f t="shared" si="12"/>
        <v>90</v>
      </c>
      <c r="AD25" s="59">
        <f>SUM(L25:AC25)</f>
        <v>90</v>
      </c>
      <c r="AE25" s="16" t="str">
        <f t="shared" si="12"/>
        <v/>
      </c>
    </row>
    <row r="26" spans="1:33" s="2" customFormat="1" ht="51.75" customHeight="1" x14ac:dyDescent="0.55000000000000004">
      <c r="F26" s="18"/>
      <c r="G26" s="18"/>
      <c r="H26" s="18"/>
      <c r="I26" s="18"/>
      <c r="J26" s="18"/>
      <c r="L26" s="18">
        <v>0</v>
      </c>
      <c r="M26" s="18">
        <v>0</v>
      </c>
      <c r="N26" s="18">
        <v>0</v>
      </c>
      <c r="O26" s="18">
        <v>0</v>
      </c>
      <c r="P26" s="18">
        <f>IF(P11=1,2^4,0)</f>
        <v>0</v>
      </c>
      <c r="Q26" s="18">
        <f>IF(Q11=1,2^5,0)</f>
        <v>0</v>
      </c>
      <c r="R26" s="18">
        <f>IF(R11=1,2^6,0)</f>
        <v>0</v>
      </c>
      <c r="S26" s="18">
        <f>IF(S11=1,2^7,0)</f>
        <v>0</v>
      </c>
      <c r="T26" s="18">
        <f>IF(T11=1,2^8,0)</f>
        <v>0</v>
      </c>
      <c r="U26" s="18">
        <f>IF(U11=1,2^9,0)</f>
        <v>0</v>
      </c>
      <c r="V26" s="18">
        <f>IF(V11=1,2^10,0)</f>
        <v>0</v>
      </c>
      <c r="W26" s="18">
        <f>IF(W11=1,2^11,0)</f>
        <v>0</v>
      </c>
      <c r="X26" s="18">
        <f>IF(X11=1,2^12,0)</f>
        <v>0</v>
      </c>
      <c r="Y26" s="18">
        <f>IF(Y11=1,2^13,0)</f>
        <v>0</v>
      </c>
      <c r="Z26" s="18">
        <f>IF(Z11=1,2^14,0)</f>
        <v>0</v>
      </c>
      <c r="AA26" s="18">
        <f>IF(AA11=1,2^15,0)</f>
        <v>0</v>
      </c>
      <c r="AB26" s="18">
        <f>IF(AB11=1,2^16,0)</f>
        <v>0</v>
      </c>
      <c r="AC26" s="18">
        <f>IF(AC11=1,2^17,0)</f>
        <v>131072</v>
      </c>
      <c r="AD26" s="18">
        <f>2^18-SUM(L26:AC26)</f>
        <v>131072</v>
      </c>
      <c r="AE26" s="18"/>
      <c r="AG26" s="18"/>
    </row>
    <row r="27" spans="1:33" s="10" customFormat="1" ht="52.5" customHeight="1" x14ac:dyDescent="0.55000000000000004">
      <c r="L27" s="51">
        <f>INT(AD26/2)</f>
        <v>65536</v>
      </c>
      <c r="M27" s="51">
        <f>INT(L27/2)</f>
        <v>32768</v>
      </c>
      <c r="N27" s="51">
        <f t="shared" ref="N27:AC27" si="13">INT(M27/2)</f>
        <v>16384</v>
      </c>
      <c r="O27" s="51">
        <f t="shared" si="13"/>
        <v>8192</v>
      </c>
      <c r="P27" s="51">
        <f t="shared" si="13"/>
        <v>4096</v>
      </c>
      <c r="Q27" s="51">
        <f t="shared" si="13"/>
        <v>2048</v>
      </c>
      <c r="R27" s="51">
        <f t="shared" si="13"/>
        <v>1024</v>
      </c>
      <c r="S27" s="51">
        <f t="shared" si="13"/>
        <v>512</v>
      </c>
      <c r="T27" s="51">
        <f t="shared" si="13"/>
        <v>256</v>
      </c>
      <c r="U27" s="51">
        <f t="shared" si="13"/>
        <v>128</v>
      </c>
      <c r="V27" s="51">
        <f t="shared" si="13"/>
        <v>64</v>
      </c>
      <c r="W27" s="51">
        <f t="shared" si="13"/>
        <v>32</v>
      </c>
      <c r="X27" s="51">
        <f t="shared" si="13"/>
        <v>16</v>
      </c>
      <c r="Y27" s="51">
        <f t="shared" si="13"/>
        <v>8</v>
      </c>
      <c r="Z27" s="51">
        <f t="shared" si="13"/>
        <v>4</v>
      </c>
      <c r="AA27" s="51">
        <f t="shared" si="13"/>
        <v>2</v>
      </c>
      <c r="AB27" s="51">
        <f t="shared" si="13"/>
        <v>1</v>
      </c>
      <c r="AC27" s="51">
        <f t="shared" si="13"/>
        <v>0</v>
      </c>
      <c r="AD27" s="51"/>
      <c r="AE27" s="51"/>
      <c r="AF27" s="51"/>
    </row>
    <row r="28" spans="1:33" s="10" customFormat="1" ht="15.75" customHeight="1" x14ac:dyDescent="0.55000000000000004">
      <c r="L28" s="52">
        <f>MOD(AD26,2)</f>
        <v>0</v>
      </c>
      <c r="M28" s="52">
        <f>MOD(L27,2)</f>
        <v>0</v>
      </c>
      <c r="N28" s="52">
        <f t="shared" ref="N28:AC28" si="14">MOD(M27,2)</f>
        <v>0</v>
      </c>
      <c r="O28" s="52">
        <f t="shared" si="14"/>
        <v>0</v>
      </c>
      <c r="P28" s="52">
        <f t="shared" si="14"/>
        <v>0</v>
      </c>
      <c r="Q28" s="52">
        <f t="shared" si="14"/>
        <v>0</v>
      </c>
      <c r="R28" s="52">
        <f t="shared" si="14"/>
        <v>0</v>
      </c>
      <c r="S28" s="52">
        <f t="shared" si="14"/>
        <v>0</v>
      </c>
      <c r="T28" s="52">
        <f t="shared" si="14"/>
        <v>0</v>
      </c>
      <c r="U28" s="52">
        <f t="shared" si="14"/>
        <v>0</v>
      </c>
      <c r="V28" s="52">
        <f t="shared" si="14"/>
        <v>0</v>
      </c>
      <c r="W28" s="52">
        <f t="shared" si="14"/>
        <v>0</v>
      </c>
      <c r="X28" s="52">
        <f t="shared" si="14"/>
        <v>0</v>
      </c>
      <c r="Y28" s="52">
        <f t="shared" si="14"/>
        <v>0</v>
      </c>
      <c r="Z28" s="52">
        <f t="shared" si="14"/>
        <v>0</v>
      </c>
      <c r="AA28" s="52">
        <f t="shared" si="14"/>
        <v>0</v>
      </c>
      <c r="AB28" s="52">
        <f t="shared" si="14"/>
        <v>0</v>
      </c>
      <c r="AC28" s="52">
        <f t="shared" si="14"/>
        <v>1</v>
      </c>
      <c r="AD28" s="52"/>
      <c r="AE28" s="52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R12:R14"/>
    <mergeCell ref="S12:S14"/>
    <mergeCell ref="Z20:AC20"/>
    <mergeCell ref="AD20:AG20"/>
    <mergeCell ref="Z12:Z14"/>
    <mergeCell ref="AA12:AA14"/>
    <mergeCell ref="AB12:AB14"/>
    <mergeCell ref="AC12:AC14"/>
    <mergeCell ref="AE10:AF10"/>
    <mergeCell ref="A15:C15"/>
    <mergeCell ref="B17:I17"/>
    <mergeCell ref="J17:K17"/>
    <mergeCell ref="L17:AC17"/>
    <mergeCell ref="B12:C12"/>
    <mergeCell ref="D12:F12"/>
    <mergeCell ref="T12:T14"/>
    <mergeCell ref="U12:U14"/>
    <mergeCell ref="V12:V14"/>
    <mergeCell ref="W12:W14"/>
    <mergeCell ref="X12:X14"/>
    <mergeCell ref="Y12:Y14"/>
    <mergeCell ref="N12:N14"/>
    <mergeCell ref="O12:O14"/>
    <mergeCell ref="AE17:AF17"/>
    <mergeCell ref="AD12:AD14"/>
    <mergeCell ref="M12:M14"/>
    <mergeCell ref="B20:E20"/>
    <mergeCell ref="F20:I20"/>
    <mergeCell ref="B10:I10"/>
    <mergeCell ref="J10:K10"/>
    <mergeCell ref="L10:Y10"/>
    <mergeCell ref="P12:P14"/>
    <mergeCell ref="Q12:Q14"/>
    <mergeCell ref="G12:I12"/>
    <mergeCell ref="L12:L14"/>
    <mergeCell ref="Z10:AC10"/>
    <mergeCell ref="J20:M20"/>
    <mergeCell ref="N20:Q20"/>
    <mergeCell ref="R20:U20"/>
    <mergeCell ref="V20:Y20"/>
  </mergeCells>
  <conditionalFormatting sqref="B11:AF11">
    <cfRule type="cellIs" dxfId="21" priority="2" operator="lessThan">
      <formula>0</formula>
    </cfRule>
    <cfRule type="cellIs" dxfId="20" priority="3" operator="greaterThan">
      <formula>1</formula>
    </cfRule>
  </conditionalFormatting>
  <conditionalFormatting sqref="L11:O11">
    <cfRule type="cellIs" dxfId="19" priority="1" operator="greaterThan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28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309">
        <v>0</v>
      </c>
      <c r="Z2" s="309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27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309">
        <v>0</v>
      </c>
      <c r="Z3" s="309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52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309">
        <v>1</v>
      </c>
      <c r="Z4" s="309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53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309">
        <v>1</v>
      </c>
      <c r="Z5" s="309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25.2" x14ac:dyDescent="0.85">
      <c r="A7" s="1"/>
      <c r="B7" s="3" t="s">
        <v>446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95">
        <f>IF(AD11=0,AD25,IF(AD11=1,-AD25,""))</f>
        <v>179.95609999999999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308" t="s">
        <v>6</v>
      </c>
      <c r="B11" s="29">
        <v>1</v>
      </c>
      <c r="C11" s="30">
        <v>0</v>
      </c>
      <c r="D11" s="31">
        <v>0</v>
      </c>
      <c r="E11" s="29">
        <v>1</v>
      </c>
      <c r="F11" s="30">
        <v>0</v>
      </c>
      <c r="G11" s="31">
        <v>0</v>
      </c>
      <c r="H11" s="29">
        <v>1</v>
      </c>
      <c r="I11" s="32">
        <v>0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>
        <v>1</v>
      </c>
      <c r="Z11" s="30">
        <v>1</v>
      </c>
      <c r="AA11" s="30">
        <v>1</v>
      </c>
      <c r="AB11" s="30">
        <v>1</v>
      </c>
      <c r="AC11" s="31">
        <v>1</v>
      </c>
      <c r="AD11" s="33">
        <v>0</v>
      </c>
      <c r="AE11" s="29">
        <v>1</v>
      </c>
      <c r="AF11" s="31">
        <v>1</v>
      </c>
      <c r="AG11" s="25">
        <f>IF(SUM(B11:AF11)=0,0,IF(ISEVEN(COUNTIFS(B11:AF11,"=1")),1,0))</f>
        <v>0</v>
      </c>
    </row>
    <row r="12" spans="1:33" ht="20.100000000000001" customHeight="1" thickBot="1" x14ac:dyDescent="0.6">
      <c r="A12" s="308" t="s">
        <v>19</v>
      </c>
      <c r="B12" s="441">
        <f>SUM(B25:C25)</f>
        <v>2</v>
      </c>
      <c r="C12" s="443"/>
      <c r="D12" s="441">
        <f>SUM(D25:F25)</f>
        <v>2</v>
      </c>
      <c r="E12" s="442"/>
      <c r="F12" s="443"/>
      <c r="G12" s="441">
        <f>SUM(G25:I25)</f>
        <v>2</v>
      </c>
      <c r="H12" s="442"/>
      <c r="I12" s="443"/>
      <c r="J12" s="15"/>
      <c r="K12" s="15"/>
      <c r="L12" s="513"/>
      <c r="M12" s="512"/>
      <c r="N12" s="512"/>
      <c r="O12" s="512"/>
      <c r="P12" s="512"/>
      <c r="Q12" s="512"/>
      <c r="R12" s="512">
        <v>4.3999999999999997E-2</v>
      </c>
      <c r="S12" s="512">
        <v>8.7900000000000006E-2</v>
      </c>
      <c r="T12" s="512">
        <v>0.17580000000000001</v>
      </c>
      <c r="U12" s="512">
        <v>0.35160000000000002</v>
      </c>
      <c r="V12" s="512">
        <v>0.70309999999999995</v>
      </c>
      <c r="W12" s="512">
        <v>1.4061999999999999</v>
      </c>
      <c r="X12" s="512">
        <v>2.8125</v>
      </c>
      <c r="Y12" s="512">
        <v>5.625</v>
      </c>
      <c r="Z12" s="512">
        <v>11.25</v>
      </c>
      <c r="AA12" s="512">
        <v>22.5</v>
      </c>
      <c r="AB12" s="512">
        <v>45</v>
      </c>
      <c r="AC12" s="516">
        <v>90</v>
      </c>
      <c r="AD12" s="511">
        <v>-180</v>
      </c>
      <c r="AE12" s="308"/>
      <c r="AF12" s="308"/>
      <c r="AG12" s="308"/>
    </row>
    <row r="13" spans="1:33" ht="15.75" customHeight="1" x14ac:dyDescent="0.55000000000000004">
      <c r="A13" s="308"/>
      <c r="B13" s="308"/>
      <c r="C13" s="308"/>
      <c r="D13" s="308"/>
      <c r="E13" s="308"/>
      <c r="F13" s="308"/>
      <c r="G13" s="308"/>
      <c r="H13" s="308"/>
      <c r="I13" s="308"/>
      <c r="J13" s="15"/>
      <c r="K13" s="15"/>
      <c r="L13" s="51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45"/>
      <c r="AD13" s="459"/>
      <c r="AE13" s="308"/>
      <c r="AF13" s="308"/>
      <c r="AG13" s="308"/>
    </row>
    <row r="14" spans="1:33" ht="21.75" customHeight="1" thickBot="1" x14ac:dyDescent="0.6">
      <c r="A14" s="308"/>
      <c r="B14" s="308"/>
      <c r="C14" s="308"/>
      <c r="D14" s="308"/>
      <c r="E14" s="308"/>
      <c r="F14" s="308"/>
      <c r="G14" s="308"/>
      <c r="H14" s="308"/>
      <c r="I14" s="308"/>
      <c r="J14" s="15"/>
      <c r="K14" s="15"/>
      <c r="L14" s="515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46"/>
      <c r="AD14" s="460"/>
      <c r="AE14" s="308"/>
      <c r="AF14" s="308"/>
      <c r="AG14" s="308"/>
    </row>
    <row r="15" spans="1:33" ht="20.100000000000001" customHeight="1" thickBot="1" x14ac:dyDescent="0.6">
      <c r="A15" s="461" t="s">
        <v>7</v>
      </c>
      <c r="B15" s="461"/>
      <c r="C15" s="461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</row>
    <row r="16" spans="1:33" ht="20.100000000000001" customHeight="1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308" t="s">
        <v>6</v>
      </c>
      <c r="B18" s="11">
        <f>B11</f>
        <v>1</v>
      </c>
      <c r="C18" s="11">
        <f t="shared" ref="C18:I18" si="1">C11</f>
        <v>0</v>
      </c>
      <c r="D18" s="11">
        <f t="shared" si="1"/>
        <v>0</v>
      </c>
      <c r="E18" s="11">
        <f t="shared" si="1"/>
        <v>1</v>
      </c>
      <c r="F18" s="11">
        <f t="shared" si="1"/>
        <v>0</v>
      </c>
      <c r="G18" s="11">
        <f t="shared" si="1"/>
        <v>0</v>
      </c>
      <c r="H18" s="11">
        <f t="shared" si="1"/>
        <v>1</v>
      </c>
      <c r="I18" s="11">
        <f t="shared" si="1"/>
        <v>0</v>
      </c>
      <c r="J18" s="11">
        <f>IF(J11=0,0, IF(J11=1,1,""))</f>
        <v>0</v>
      </c>
      <c r="K18" s="13">
        <f>IF(K11=0,0, IF(K11=1,1,""))</f>
        <v>0</v>
      </c>
      <c r="L18" s="38">
        <f t="shared" ref="L18:AC18" si="2">IF($AD$11=0,L11,L28)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1</v>
      </c>
      <c r="S18" s="12">
        <f t="shared" si="2"/>
        <v>1</v>
      </c>
      <c r="T18" s="12">
        <f t="shared" si="2"/>
        <v>1</v>
      </c>
      <c r="U18" s="12">
        <f t="shared" si="2"/>
        <v>1</v>
      </c>
      <c r="V18" s="12">
        <f t="shared" si="2"/>
        <v>1</v>
      </c>
      <c r="W18" s="12">
        <f t="shared" si="2"/>
        <v>1</v>
      </c>
      <c r="X18" s="12">
        <f t="shared" si="2"/>
        <v>1</v>
      </c>
      <c r="Y18" s="12">
        <f t="shared" si="2"/>
        <v>1</v>
      </c>
      <c r="Z18" s="12">
        <f t="shared" si="2"/>
        <v>1</v>
      </c>
      <c r="AA18" s="12">
        <f t="shared" si="2"/>
        <v>1</v>
      </c>
      <c r="AB18" s="12">
        <f t="shared" si="2"/>
        <v>1</v>
      </c>
      <c r="AC18" s="13">
        <f t="shared" si="2"/>
        <v>1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0</v>
      </c>
    </row>
    <row r="19" spans="1:33" ht="20.100000000000001" customHeight="1" thickBot="1" x14ac:dyDescent="0.6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</row>
    <row r="20" spans="1:33" ht="20.100000000000001" customHeight="1" thickBot="1" x14ac:dyDescent="0.6">
      <c r="A20" s="2" t="s">
        <v>41</v>
      </c>
      <c r="B20" s="441" t="str">
        <f t="shared" ref="B20" si="3">DEC2HEX(B18*1+C18*2+D18*4+E18*8)</f>
        <v>9</v>
      </c>
      <c r="C20" s="442"/>
      <c r="D20" s="442"/>
      <c r="E20" s="443"/>
      <c r="F20" s="441" t="str">
        <f t="shared" ref="F20" si="4">DEC2HEX(F18*1+G18*2+H18*4+I18*8)</f>
        <v>4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F</v>
      </c>
      <c r="S20" s="442"/>
      <c r="T20" s="442"/>
      <c r="U20" s="443"/>
      <c r="V20" s="441" t="str">
        <f t="shared" ref="V20" si="8">DEC2HEX(V18*1+W18*2+X18*4+Y18*8)</f>
        <v>F</v>
      </c>
      <c r="W20" s="442"/>
      <c r="X20" s="442"/>
      <c r="Y20" s="443"/>
      <c r="Z20" s="441" t="str">
        <f t="shared" ref="Z20" si="9">DEC2HEX(Z18*1+AA18*2+AB18*4+AC18*8)</f>
        <v>F</v>
      </c>
      <c r="AA20" s="442"/>
      <c r="AB20" s="442"/>
      <c r="AC20" s="443"/>
      <c r="AD20" s="441" t="str">
        <f t="shared" ref="AD20" si="10">DEC2HEX(AD18*1+AE18*2+AF18*4+AG18*8)</f>
        <v>6</v>
      </c>
      <c r="AE20" s="442"/>
      <c r="AF20" s="442"/>
      <c r="AG20" s="443"/>
    </row>
    <row r="21" spans="1:33" ht="15" x14ac:dyDescent="0.55000000000000004">
      <c r="A21" s="308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 t="str">
        <f>IF(ISBLANK(L12),"",L16)</f>
        <v/>
      </c>
      <c r="M24" s="2" t="str">
        <f t="shared" ref="M24:O24" si="11">IF(ISBLANK(M12),"",M16)</f>
        <v/>
      </c>
      <c r="N24" s="2" t="str">
        <f t="shared" si="11"/>
        <v/>
      </c>
      <c r="O24" s="2" t="str">
        <f t="shared" si="11"/>
        <v/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3" s="10" customFormat="1" ht="55.5" customHeight="1" x14ac:dyDescent="0.55000000000000004">
      <c r="A25"/>
      <c r="B25" s="2">
        <f>IF(B11=0,0, IF(B11=1,2,""))</f>
        <v>2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2</v>
      </c>
      <c r="F25" s="2">
        <f>IF(F11=0,0, IF(F11=1,1,""))</f>
        <v>0</v>
      </c>
      <c r="G25" s="2">
        <f>IF(G11=0,0, IF(G11=1,4,""))</f>
        <v>0</v>
      </c>
      <c r="H25" s="2">
        <f>IF(H11=0,0, IF(H11=1,2,""))</f>
        <v>2</v>
      </c>
      <c r="I25" s="2">
        <f>IF(I11=0,0, IF(I11=1,1,""))</f>
        <v>0</v>
      </c>
      <c r="L25" s="16"/>
      <c r="M25" s="16" t="str">
        <f t="shared" ref="M25:AE25" si="12">IF(ISBLANK(M12),"",IF(M11=1,M12,0))</f>
        <v/>
      </c>
      <c r="N25" s="16" t="str">
        <f t="shared" si="12"/>
        <v/>
      </c>
      <c r="O25" s="16" t="str">
        <f t="shared" si="12"/>
        <v/>
      </c>
      <c r="P25" s="16" t="str">
        <f t="shared" si="12"/>
        <v/>
      </c>
      <c r="Q25" s="16" t="str">
        <f t="shared" si="12"/>
        <v/>
      </c>
      <c r="R25" s="59">
        <f t="shared" si="12"/>
        <v>4.3999999999999997E-2</v>
      </c>
      <c r="S25" s="59">
        <f t="shared" si="12"/>
        <v>8.7900000000000006E-2</v>
      </c>
      <c r="T25" s="59">
        <f t="shared" si="12"/>
        <v>0.17580000000000001</v>
      </c>
      <c r="U25" s="59">
        <f t="shared" si="12"/>
        <v>0.35160000000000002</v>
      </c>
      <c r="V25" s="59">
        <f t="shared" si="12"/>
        <v>0.70309999999999995</v>
      </c>
      <c r="W25" s="59">
        <f t="shared" si="12"/>
        <v>1.4061999999999999</v>
      </c>
      <c r="X25" s="59">
        <f t="shared" si="12"/>
        <v>2.8125</v>
      </c>
      <c r="Y25" s="59">
        <f t="shared" si="12"/>
        <v>5.625</v>
      </c>
      <c r="Z25" s="59">
        <f t="shared" si="12"/>
        <v>11.25</v>
      </c>
      <c r="AA25" s="59">
        <f t="shared" si="12"/>
        <v>22.5</v>
      </c>
      <c r="AB25" s="59">
        <f t="shared" si="12"/>
        <v>45</v>
      </c>
      <c r="AC25" s="59">
        <f t="shared" si="12"/>
        <v>90</v>
      </c>
      <c r="AD25" s="59">
        <f>SUM(L25:AC25)</f>
        <v>179.95609999999999</v>
      </c>
      <c r="AE25" s="16" t="str">
        <f t="shared" si="12"/>
        <v/>
      </c>
    </row>
    <row r="26" spans="1:33" s="2" customFormat="1" ht="47.25" customHeight="1" x14ac:dyDescent="0.55000000000000004">
      <c r="F26" s="18"/>
      <c r="G26" s="18"/>
      <c r="H26" s="18"/>
      <c r="I26" s="18"/>
      <c r="J26" s="18"/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>IF(R11=1,2^6,0)</f>
        <v>64</v>
      </c>
      <c r="S26" s="18">
        <f>IF(S11=1,2^7,0)</f>
        <v>128</v>
      </c>
      <c r="T26" s="18">
        <f>IF(T11=1,2^8,0)</f>
        <v>256</v>
      </c>
      <c r="U26" s="18">
        <f>IF(U11=1,2^9,0)</f>
        <v>512</v>
      </c>
      <c r="V26" s="18">
        <f>IF(V11=1,2^10,0)</f>
        <v>1024</v>
      </c>
      <c r="W26" s="18">
        <f>IF(W11=1,2^11,0)</f>
        <v>2048</v>
      </c>
      <c r="X26" s="18">
        <f>IF(X11=1,2^12,0)</f>
        <v>4096</v>
      </c>
      <c r="Y26" s="18">
        <f>IF(Y11=1,2^13,0)</f>
        <v>8192</v>
      </c>
      <c r="Z26" s="18">
        <f>IF(Z11=1,2^14,0)</f>
        <v>16384</v>
      </c>
      <c r="AA26" s="18">
        <f>IF(AA11=1,2^15,0)</f>
        <v>32768</v>
      </c>
      <c r="AB26" s="18">
        <f>IF(AB11=1,2^16,0)</f>
        <v>65536</v>
      </c>
      <c r="AC26" s="18">
        <f>IF(AC11=1,2^17,0)</f>
        <v>131072</v>
      </c>
      <c r="AD26" s="18">
        <f>2^18-SUM(L26:AC26)</f>
        <v>64</v>
      </c>
      <c r="AE26" s="18"/>
      <c r="AG26" s="18"/>
    </row>
    <row r="27" spans="1:33" s="10" customFormat="1" ht="45.75" customHeight="1" x14ac:dyDescent="0.55000000000000004">
      <c r="L27" s="51">
        <f>INT(AD26/2)</f>
        <v>32</v>
      </c>
      <c r="M27" s="51">
        <f>INT(L27/2)</f>
        <v>16</v>
      </c>
      <c r="N27" s="51">
        <f t="shared" ref="N27:AC27" si="13">INT(M27/2)</f>
        <v>8</v>
      </c>
      <c r="O27" s="51">
        <f t="shared" si="13"/>
        <v>4</v>
      </c>
      <c r="P27" s="51">
        <f t="shared" si="13"/>
        <v>2</v>
      </c>
      <c r="Q27" s="51">
        <f t="shared" si="13"/>
        <v>1</v>
      </c>
      <c r="R27" s="51">
        <f t="shared" si="13"/>
        <v>0</v>
      </c>
      <c r="S27" s="51">
        <f t="shared" si="13"/>
        <v>0</v>
      </c>
      <c r="T27" s="51">
        <f t="shared" si="13"/>
        <v>0</v>
      </c>
      <c r="U27" s="51">
        <f t="shared" si="13"/>
        <v>0</v>
      </c>
      <c r="V27" s="51">
        <f t="shared" si="13"/>
        <v>0</v>
      </c>
      <c r="W27" s="51">
        <f t="shared" si="13"/>
        <v>0</v>
      </c>
      <c r="X27" s="51">
        <f t="shared" si="13"/>
        <v>0</v>
      </c>
      <c r="Y27" s="51">
        <f t="shared" si="13"/>
        <v>0</v>
      </c>
      <c r="Z27" s="51">
        <f t="shared" si="13"/>
        <v>0</v>
      </c>
      <c r="AA27" s="51">
        <f t="shared" si="13"/>
        <v>0</v>
      </c>
      <c r="AB27" s="51">
        <f t="shared" si="13"/>
        <v>0</v>
      </c>
      <c r="AC27" s="51">
        <f t="shared" si="13"/>
        <v>0</v>
      </c>
      <c r="AD27" s="51"/>
      <c r="AE27" s="51"/>
      <c r="AF27" s="51"/>
    </row>
    <row r="28" spans="1:33" s="10" customFormat="1" ht="15.75" customHeight="1" x14ac:dyDescent="0.55000000000000004">
      <c r="L28" s="52">
        <f>MOD(AD26,2)</f>
        <v>0</v>
      </c>
      <c r="M28" s="52">
        <f>MOD(L27,2)</f>
        <v>0</v>
      </c>
      <c r="N28" s="52">
        <f t="shared" ref="N28:AC28" si="14">MOD(M27,2)</f>
        <v>0</v>
      </c>
      <c r="O28" s="52">
        <f t="shared" si="14"/>
        <v>0</v>
      </c>
      <c r="P28" s="52">
        <f t="shared" si="14"/>
        <v>0</v>
      </c>
      <c r="Q28" s="52">
        <f t="shared" si="14"/>
        <v>0</v>
      </c>
      <c r="R28" s="52">
        <f t="shared" si="14"/>
        <v>1</v>
      </c>
      <c r="S28" s="52">
        <f t="shared" si="14"/>
        <v>0</v>
      </c>
      <c r="T28" s="52">
        <f t="shared" si="14"/>
        <v>0</v>
      </c>
      <c r="U28" s="52">
        <f t="shared" si="14"/>
        <v>0</v>
      </c>
      <c r="V28" s="52">
        <f t="shared" si="14"/>
        <v>0</v>
      </c>
      <c r="W28" s="52">
        <f t="shared" si="14"/>
        <v>0</v>
      </c>
      <c r="X28" s="52">
        <f t="shared" si="14"/>
        <v>0</v>
      </c>
      <c r="Y28" s="52">
        <f t="shared" si="14"/>
        <v>0</v>
      </c>
      <c r="Z28" s="52">
        <f t="shared" si="14"/>
        <v>0</v>
      </c>
      <c r="AA28" s="52">
        <f t="shared" si="14"/>
        <v>0</v>
      </c>
      <c r="AB28" s="52">
        <f t="shared" si="14"/>
        <v>0</v>
      </c>
      <c r="AC28" s="52">
        <f t="shared" si="14"/>
        <v>0</v>
      </c>
      <c r="AD28" s="52"/>
      <c r="AE28" s="52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308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308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308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308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308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308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308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308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308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308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308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308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308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308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308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308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308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308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308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308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308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308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308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308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308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308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308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308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308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308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308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308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308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308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308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308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308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308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308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308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308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308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308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308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308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308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308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308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308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308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308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308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308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308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308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308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308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308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308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308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308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308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308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308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308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308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308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308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308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308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308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308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308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308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308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308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308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308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308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308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308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308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308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308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308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308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308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308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308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308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308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308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308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308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308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308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308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308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308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308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308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308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308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308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308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308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308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308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308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308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308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308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308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308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308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308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308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308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308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308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308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308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308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308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308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308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308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308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308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308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308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308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308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308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308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308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308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308"/>
      <c r="B329" s="1"/>
      <c r="C329" s="1"/>
      <c r="D329" s="1"/>
      <c r="E329" s="1"/>
      <c r="F329" s="1"/>
      <c r="G329" s="1"/>
      <c r="H329" s="1"/>
    </row>
  </sheetData>
  <mergeCells count="40">
    <mergeCell ref="AB12:AB14"/>
    <mergeCell ref="AC12:AC14"/>
    <mergeCell ref="X12:X14"/>
    <mergeCell ref="U12:U14"/>
    <mergeCell ref="V12:V14"/>
    <mergeCell ref="W12:W14"/>
    <mergeCell ref="AE10:AF10"/>
    <mergeCell ref="B12:C12"/>
    <mergeCell ref="D12:F12"/>
    <mergeCell ref="G12:I12"/>
    <mergeCell ref="L12:L14"/>
    <mergeCell ref="M12:M14"/>
    <mergeCell ref="S12:S14"/>
    <mergeCell ref="B10:I10"/>
    <mergeCell ref="J10:K10"/>
    <mergeCell ref="L10:Y10"/>
    <mergeCell ref="Z10:AC10"/>
    <mergeCell ref="Z12:Z14"/>
    <mergeCell ref="AA12:AA14"/>
    <mergeCell ref="P12:P14"/>
    <mergeCell ref="Q12:Q14"/>
    <mergeCell ref="R12:R14"/>
    <mergeCell ref="A15:C15"/>
    <mergeCell ref="T12:T14"/>
    <mergeCell ref="AD12:AD14"/>
    <mergeCell ref="AE17:AF17"/>
    <mergeCell ref="B20:E20"/>
    <mergeCell ref="F20:I20"/>
    <mergeCell ref="J20:M20"/>
    <mergeCell ref="N20:Q20"/>
    <mergeCell ref="R20:U20"/>
    <mergeCell ref="V20:Y20"/>
    <mergeCell ref="Z20:AC20"/>
    <mergeCell ref="AD20:AG20"/>
    <mergeCell ref="B17:I17"/>
    <mergeCell ref="J17:K17"/>
    <mergeCell ref="L17:AC17"/>
    <mergeCell ref="Y12:Y14"/>
    <mergeCell ref="N12:N14"/>
    <mergeCell ref="O12:O14"/>
  </mergeCells>
  <conditionalFormatting sqref="B11:AF11">
    <cfRule type="cellIs" dxfId="18" priority="2" operator="lessThan">
      <formula>0</formula>
    </cfRule>
    <cfRule type="cellIs" dxfId="17" priority="3" operator="greaterThan">
      <formula>1</formula>
    </cfRule>
  </conditionalFormatting>
  <conditionalFormatting sqref="L11:Q11">
    <cfRule type="cellIs" dxfId="16" priority="1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28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27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52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53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25.2" x14ac:dyDescent="0.85">
      <c r="A7" s="1"/>
      <c r="B7" s="3" t="s">
        <v>441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95">
        <f>IF(AD11=0,AD25,IF(AD11=1,-AD25,""))</f>
        <v>179.95609999999999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0</v>
      </c>
      <c r="C11" s="30">
        <v>1</v>
      </c>
      <c r="D11" s="31">
        <v>1</v>
      </c>
      <c r="E11" s="29">
        <v>1</v>
      </c>
      <c r="F11" s="30">
        <v>0</v>
      </c>
      <c r="G11" s="31">
        <v>0</v>
      </c>
      <c r="H11" s="29">
        <v>1</v>
      </c>
      <c r="I11" s="32">
        <v>0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>
        <v>1</v>
      </c>
      <c r="Z11" s="30">
        <v>1</v>
      </c>
      <c r="AA11" s="30">
        <v>1</v>
      </c>
      <c r="AB11" s="30">
        <v>1</v>
      </c>
      <c r="AC11" s="31">
        <v>1</v>
      </c>
      <c r="AD11" s="33">
        <v>0</v>
      </c>
      <c r="AE11" s="29">
        <v>1</v>
      </c>
      <c r="AF11" s="31">
        <v>1</v>
      </c>
      <c r="AG11" s="25">
        <f>IF(SUM(B11:AF11)=0,0,IF(ISEVEN(COUNTIFS(B11:AF11,"=1")),1,0))</f>
        <v>1</v>
      </c>
    </row>
    <row r="12" spans="1:33" ht="20.100000000000001" customHeight="1" thickBot="1" x14ac:dyDescent="0.6">
      <c r="A12" s="64" t="s">
        <v>19</v>
      </c>
      <c r="B12" s="441">
        <f>SUM(B25:C25)</f>
        <v>1</v>
      </c>
      <c r="C12" s="443"/>
      <c r="D12" s="441">
        <f>SUM(D25:F25)</f>
        <v>6</v>
      </c>
      <c r="E12" s="442"/>
      <c r="F12" s="443"/>
      <c r="G12" s="441">
        <f>SUM(G25:I25)</f>
        <v>2</v>
      </c>
      <c r="H12" s="442"/>
      <c r="I12" s="443"/>
      <c r="J12" s="15"/>
      <c r="K12" s="15"/>
      <c r="L12" s="513"/>
      <c r="M12" s="512"/>
      <c r="N12" s="512"/>
      <c r="O12" s="512"/>
      <c r="P12" s="512"/>
      <c r="Q12" s="512"/>
      <c r="R12" s="512">
        <v>4.3999999999999997E-2</v>
      </c>
      <c r="S12" s="512">
        <v>8.7900000000000006E-2</v>
      </c>
      <c r="T12" s="512">
        <v>0.17580000000000001</v>
      </c>
      <c r="U12" s="512">
        <v>0.35160000000000002</v>
      </c>
      <c r="V12" s="512">
        <v>0.70309999999999995</v>
      </c>
      <c r="W12" s="512">
        <v>1.4061999999999999</v>
      </c>
      <c r="X12" s="512">
        <v>2.8125</v>
      </c>
      <c r="Y12" s="512">
        <v>5.625</v>
      </c>
      <c r="Z12" s="512">
        <v>11.25</v>
      </c>
      <c r="AA12" s="512">
        <v>22.5</v>
      </c>
      <c r="AB12" s="512">
        <v>45</v>
      </c>
      <c r="AC12" s="516">
        <v>90</v>
      </c>
      <c r="AD12" s="511">
        <v>-180</v>
      </c>
      <c r="AE12" s="64"/>
      <c r="AF12" s="64"/>
      <c r="AG12" s="64"/>
    </row>
    <row r="13" spans="1:33" ht="15.75" customHeight="1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51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45"/>
      <c r="AD13" s="459"/>
      <c r="AE13" s="64"/>
      <c r="AF13" s="64"/>
      <c r="AG13" s="64"/>
    </row>
    <row r="14" spans="1:33" ht="21.75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515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46"/>
      <c r="AD14" s="460"/>
      <c r="AE14" s="64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0</v>
      </c>
      <c r="C18" s="11">
        <f t="shared" ref="C18:I18" si="1">C11</f>
        <v>1</v>
      </c>
      <c r="D18" s="11">
        <f t="shared" si="1"/>
        <v>1</v>
      </c>
      <c r="E18" s="11">
        <f t="shared" si="1"/>
        <v>1</v>
      </c>
      <c r="F18" s="11">
        <f t="shared" si="1"/>
        <v>0</v>
      </c>
      <c r="G18" s="11">
        <f t="shared" si="1"/>
        <v>0</v>
      </c>
      <c r="H18" s="11">
        <f t="shared" si="1"/>
        <v>1</v>
      </c>
      <c r="I18" s="11">
        <f t="shared" si="1"/>
        <v>0</v>
      </c>
      <c r="J18" s="11">
        <f>IF(J11=0,0, IF(J11=1,1,""))</f>
        <v>0</v>
      </c>
      <c r="K18" s="13">
        <f>IF(K11=0,0, IF(K11=1,1,""))</f>
        <v>0</v>
      </c>
      <c r="L18" s="38">
        <f t="shared" ref="L18:AC18" si="2">IF($AD$11=0,L11,L28)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1</v>
      </c>
      <c r="S18" s="12">
        <f t="shared" si="2"/>
        <v>1</v>
      </c>
      <c r="T18" s="12">
        <f t="shared" si="2"/>
        <v>1</v>
      </c>
      <c r="U18" s="12">
        <f t="shared" si="2"/>
        <v>1</v>
      </c>
      <c r="V18" s="12">
        <f t="shared" si="2"/>
        <v>1</v>
      </c>
      <c r="W18" s="12">
        <f t="shared" si="2"/>
        <v>1</v>
      </c>
      <c r="X18" s="12">
        <f t="shared" si="2"/>
        <v>1</v>
      </c>
      <c r="Y18" s="12">
        <f t="shared" si="2"/>
        <v>1</v>
      </c>
      <c r="Z18" s="12">
        <f t="shared" si="2"/>
        <v>1</v>
      </c>
      <c r="AA18" s="12">
        <f t="shared" si="2"/>
        <v>1</v>
      </c>
      <c r="AB18" s="12">
        <f t="shared" si="2"/>
        <v>1</v>
      </c>
      <c r="AC18" s="13">
        <f t="shared" si="2"/>
        <v>1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1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 t="shared" ref="B20" si="3">DEC2HEX(B18*1+C18*2+D18*4+E18*8)</f>
        <v>E</v>
      </c>
      <c r="C20" s="442"/>
      <c r="D20" s="442"/>
      <c r="E20" s="443"/>
      <c r="F20" s="441" t="str">
        <f t="shared" ref="F20" si="4">DEC2HEX(F18*1+G18*2+H18*4+I18*8)</f>
        <v>4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F</v>
      </c>
      <c r="S20" s="442"/>
      <c r="T20" s="442"/>
      <c r="U20" s="443"/>
      <c r="V20" s="441" t="str">
        <f t="shared" ref="V20" si="8">DEC2HEX(V18*1+W18*2+X18*4+Y18*8)</f>
        <v>F</v>
      </c>
      <c r="W20" s="442"/>
      <c r="X20" s="442"/>
      <c r="Y20" s="443"/>
      <c r="Z20" s="441" t="str">
        <f t="shared" ref="Z20" si="9">DEC2HEX(Z18*1+AA18*2+AB18*4+AC18*8)</f>
        <v>F</v>
      </c>
      <c r="AA20" s="442"/>
      <c r="AB20" s="442"/>
      <c r="AC20" s="443"/>
      <c r="AD20" s="441" t="str">
        <f t="shared" ref="AD20" si="10">DEC2HEX(AD18*1+AE18*2+AF18*4+AG18*8)</f>
        <v>E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 t="str">
        <f>IF(ISBLANK(L12),"",L16)</f>
        <v/>
      </c>
      <c r="M24" s="2" t="str">
        <f t="shared" ref="M24:O24" si="11">IF(ISBLANK(M12),"",M16)</f>
        <v/>
      </c>
      <c r="N24" s="2" t="str">
        <f t="shared" si="11"/>
        <v/>
      </c>
      <c r="O24" s="2" t="str">
        <f t="shared" si="11"/>
        <v/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3" s="10" customFormat="1" ht="55.5" customHeight="1" x14ac:dyDescent="0.55000000000000004">
      <c r="A25"/>
      <c r="B25" s="2">
        <f>IF(B11=0,0, IF(B11=1,2,""))</f>
        <v>0</v>
      </c>
      <c r="C25" s="2">
        <f>IF(C11=0,0, IF(C11=1,1,""))</f>
        <v>1</v>
      </c>
      <c r="D25" s="2">
        <f>IF(D11=0,0, IF(D11=1,4,""))</f>
        <v>4</v>
      </c>
      <c r="E25" s="2">
        <f>IF(E11=0,0, IF(E11=1,2,""))</f>
        <v>2</v>
      </c>
      <c r="F25" s="2">
        <f>IF(F11=0,0, IF(F11=1,1,""))</f>
        <v>0</v>
      </c>
      <c r="G25" s="2">
        <f>IF(G11=0,0, IF(G11=1,4,""))</f>
        <v>0</v>
      </c>
      <c r="H25" s="2">
        <f>IF(H11=0,0, IF(H11=1,2,""))</f>
        <v>2</v>
      </c>
      <c r="I25" s="2">
        <f>IF(I11=0,0, IF(I11=1,1,""))</f>
        <v>0</v>
      </c>
      <c r="L25" s="16"/>
      <c r="M25" s="16" t="str">
        <f t="shared" ref="M25:AE25" si="12">IF(ISBLANK(M12),"",IF(M11=1,M12,0))</f>
        <v/>
      </c>
      <c r="N25" s="16" t="str">
        <f t="shared" si="12"/>
        <v/>
      </c>
      <c r="O25" s="16" t="str">
        <f t="shared" si="12"/>
        <v/>
      </c>
      <c r="P25" s="16" t="str">
        <f t="shared" si="12"/>
        <v/>
      </c>
      <c r="Q25" s="16" t="str">
        <f t="shared" si="12"/>
        <v/>
      </c>
      <c r="R25" s="59">
        <f t="shared" si="12"/>
        <v>4.3999999999999997E-2</v>
      </c>
      <c r="S25" s="59">
        <f t="shared" si="12"/>
        <v>8.7900000000000006E-2</v>
      </c>
      <c r="T25" s="59">
        <f t="shared" si="12"/>
        <v>0.17580000000000001</v>
      </c>
      <c r="U25" s="59">
        <f t="shared" si="12"/>
        <v>0.35160000000000002</v>
      </c>
      <c r="V25" s="59">
        <f t="shared" si="12"/>
        <v>0.70309999999999995</v>
      </c>
      <c r="W25" s="59">
        <f t="shared" si="12"/>
        <v>1.4061999999999999</v>
      </c>
      <c r="X25" s="59">
        <f t="shared" si="12"/>
        <v>2.8125</v>
      </c>
      <c r="Y25" s="59">
        <f t="shared" si="12"/>
        <v>5.625</v>
      </c>
      <c r="Z25" s="59">
        <f t="shared" si="12"/>
        <v>11.25</v>
      </c>
      <c r="AA25" s="59">
        <f t="shared" si="12"/>
        <v>22.5</v>
      </c>
      <c r="AB25" s="59">
        <f t="shared" si="12"/>
        <v>45</v>
      </c>
      <c r="AC25" s="59">
        <f t="shared" si="12"/>
        <v>90</v>
      </c>
      <c r="AD25" s="59">
        <f>SUM(L25:AC25)</f>
        <v>179.95609999999999</v>
      </c>
      <c r="AE25" s="16" t="str">
        <f t="shared" si="12"/>
        <v/>
      </c>
    </row>
    <row r="26" spans="1:33" s="2" customFormat="1" ht="47.25" customHeight="1" x14ac:dyDescent="0.55000000000000004">
      <c r="F26" s="18"/>
      <c r="G26" s="18"/>
      <c r="H26" s="18"/>
      <c r="I26" s="18"/>
      <c r="J26" s="18"/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f>IF(R11=1,2^6,0)</f>
        <v>64</v>
      </c>
      <c r="S26" s="18">
        <f>IF(S11=1,2^7,0)</f>
        <v>128</v>
      </c>
      <c r="T26" s="18">
        <f>IF(T11=1,2^8,0)</f>
        <v>256</v>
      </c>
      <c r="U26" s="18">
        <f>IF(U11=1,2^9,0)</f>
        <v>512</v>
      </c>
      <c r="V26" s="18">
        <f>IF(V11=1,2^10,0)</f>
        <v>1024</v>
      </c>
      <c r="W26" s="18">
        <f>IF(W11=1,2^11,0)</f>
        <v>2048</v>
      </c>
      <c r="X26" s="18">
        <f>IF(X11=1,2^12,0)</f>
        <v>4096</v>
      </c>
      <c r="Y26" s="18">
        <f>IF(Y11=1,2^13,0)</f>
        <v>8192</v>
      </c>
      <c r="Z26" s="18">
        <f>IF(Z11=1,2^14,0)</f>
        <v>16384</v>
      </c>
      <c r="AA26" s="18">
        <f>IF(AA11=1,2^15,0)</f>
        <v>32768</v>
      </c>
      <c r="AB26" s="18">
        <f>IF(AB11=1,2^16,0)</f>
        <v>65536</v>
      </c>
      <c r="AC26" s="18">
        <f>IF(AC11=1,2^17,0)</f>
        <v>131072</v>
      </c>
      <c r="AD26" s="18">
        <f>2^18-SUM(L26:AC26)</f>
        <v>64</v>
      </c>
      <c r="AE26" s="18"/>
      <c r="AG26" s="18"/>
    </row>
    <row r="27" spans="1:33" s="10" customFormat="1" ht="45.75" customHeight="1" x14ac:dyDescent="0.55000000000000004">
      <c r="L27" s="51">
        <f>INT(AD26/2)</f>
        <v>32</v>
      </c>
      <c r="M27" s="51">
        <f>INT(L27/2)</f>
        <v>16</v>
      </c>
      <c r="N27" s="51">
        <f t="shared" ref="N27:AC27" si="13">INT(M27/2)</f>
        <v>8</v>
      </c>
      <c r="O27" s="51">
        <f t="shared" si="13"/>
        <v>4</v>
      </c>
      <c r="P27" s="51">
        <f t="shared" si="13"/>
        <v>2</v>
      </c>
      <c r="Q27" s="51">
        <f t="shared" si="13"/>
        <v>1</v>
      </c>
      <c r="R27" s="51">
        <f t="shared" si="13"/>
        <v>0</v>
      </c>
      <c r="S27" s="51">
        <f t="shared" si="13"/>
        <v>0</v>
      </c>
      <c r="T27" s="51">
        <f t="shared" si="13"/>
        <v>0</v>
      </c>
      <c r="U27" s="51">
        <f t="shared" si="13"/>
        <v>0</v>
      </c>
      <c r="V27" s="51">
        <f t="shared" si="13"/>
        <v>0</v>
      </c>
      <c r="W27" s="51">
        <f t="shared" si="13"/>
        <v>0</v>
      </c>
      <c r="X27" s="51">
        <f t="shared" si="13"/>
        <v>0</v>
      </c>
      <c r="Y27" s="51">
        <f t="shared" si="13"/>
        <v>0</v>
      </c>
      <c r="Z27" s="51">
        <f t="shared" si="13"/>
        <v>0</v>
      </c>
      <c r="AA27" s="51">
        <f t="shared" si="13"/>
        <v>0</v>
      </c>
      <c r="AB27" s="51">
        <f t="shared" si="13"/>
        <v>0</v>
      </c>
      <c r="AC27" s="51">
        <f t="shared" si="13"/>
        <v>0</v>
      </c>
      <c r="AD27" s="51"/>
      <c r="AE27" s="51"/>
      <c r="AF27" s="51"/>
    </row>
    <row r="28" spans="1:33" s="10" customFormat="1" ht="15.75" customHeight="1" x14ac:dyDescent="0.55000000000000004">
      <c r="L28" s="52">
        <f>MOD(AD26,2)</f>
        <v>0</v>
      </c>
      <c r="M28" s="52">
        <f>MOD(L27,2)</f>
        <v>0</v>
      </c>
      <c r="N28" s="52">
        <f t="shared" ref="N28:AC28" si="14">MOD(M27,2)</f>
        <v>0</v>
      </c>
      <c r="O28" s="52">
        <f t="shared" si="14"/>
        <v>0</v>
      </c>
      <c r="P28" s="52">
        <f t="shared" si="14"/>
        <v>0</v>
      </c>
      <c r="Q28" s="52">
        <f t="shared" si="14"/>
        <v>0</v>
      </c>
      <c r="R28" s="52">
        <f t="shared" si="14"/>
        <v>1</v>
      </c>
      <c r="S28" s="52">
        <f t="shared" si="14"/>
        <v>0</v>
      </c>
      <c r="T28" s="52">
        <f t="shared" si="14"/>
        <v>0</v>
      </c>
      <c r="U28" s="52">
        <f t="shared" si="14"/>
        <v>0</v>
      </c>
      <c r="V28" s="52">
        <f t="shared" si="14"/>
        <v>0</v>
      </c>
      <c r="W28" s="52">
        <f t="shared" si="14"/>
        <v>0</v>
      </c>
      <c r="X28" s="52">
        <f t="shared" si="14"/>
        <v>0</v>
      </c>
      <c r="Y28" s="52">
        <f t="shared" si="14"/>
        <v>0</v>
      </c>
      <c r="Z28" s="52">
        <f t="shared" si="14"/>
        <v>0</v>
      </c>
      <c r="AA28" s="52">
        <f t="shared" si="14"/>
        <v>0</v>
      </c>
      <c r="AB28" s="52">
        <f t="shared" si="14"/>
        <v>0</v>
      </c>
      <c r="AC28" s="52">
        <f t="shared" si="14"/>
        <v>0</v>
      </c>
      <c r="AD28" s="52"/>
      <c r="AE28" s="52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R12:R14"/>
    <mergeCell ref="S12:S14"/>
    <mergeCell ref="Z20:AC20"/>
    <mergeCell ref="AD20:AG20"/>
    <mergeCell ref="Z12:Z14"/>
    <mergeCell ref="AA12:AA14"/>
    <mergeCell ref="AB12:AB14"/>
    <mergeCell ref="AC12:AC14"/>
    <mergeCell ref="AE10:AF10"/>
    <mergeCell ref="A15:C15"/>
    <mergeCell ref="B17:I17"/>
    <mergeCell ref="J17:K17"/>
    <mergeCell ref="L17:AC17"/>
    <mergeCell ref="B12:C12"/>
    <mergeCell ref="D12:F12"/>
    <mergeCell ref="T12:T14"/>
    <mergeCell ref="U12:U14"/>
    <mergeCell ref="V12:V14"/>
    <mergeCell ref="W12:W14"/>
    <mergeCell ref="X12:X14"/>
    <mergeCell ref="Y12:Y14"/>
    <mergeCell ref="N12:N14"/>
    <mergeCell ref="O12:O14"/>
    <mergeCell ref="AE17:AF17"/>
    <mergeCell ref="AD12:AD14"/>
    <mergeCell ref="M12:M14"/>
    <mergeCell ref="B20:E20"/>
    <mergeCell ref="F20:I20"/>
    <mergeCell ref="B10:I10"/>
    <mergeCell ref="J10:K10"/>
    <mergeCell ref="L10:Y10"/>
    <mergeCell ref="P12:P14"/>
    <mergeCell ref="Q12:Q14"/>
    <mergeCell ref="G12:I12"/>
    <mergeCell ref="L12:L14"/>
    <mergeCell ref="Z10:AC10"/>
    <mergeCell ref="J20:M20"/>
    <mergeCell ref="N20:Q20"/>
    <mergeCell ref="R20:U20"/>
    <mergeCell ref="V20:Y20"/>
  </mergeCells>
  <conditionalFormatting sqref="B11:AF11">
    <cfRule type="cellIs" dxfId="15" priority="2" operator="lessThan">
      <formula>0</formula>
    </cfRule>
    <cfRule type="cellIs" dxfId="14" priority="3" operator="greaterThan">
      <formula>1</formula>
    </cfRule>
  </conditionalFormatting>
  <conditionalFormatting sqref="L11:Q11">
    <cfRule type="cellIs" dxfId="13" priority="1" operator="greater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I329"/>
  <sheetViews>
    <sheetView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26</v>
      </c>
      <c r="B1" s="5"/>
      <c r="C1" s="5"/>
    </row>
    <row r="2" spans="1:33" ht="15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" x14ac:dyDescent="0.55000000000000004">
      <c r="A3"/>
      <c r="B3" s="3" t="s">
        <v>27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50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51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19.8" x14ac:dyDescent="0.65">
      <c r="A7" s="1"/>
      <c r="B7" s="3" t="s">
        <v>442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14.7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15.3" thickBot="1" x14ac:dyDescent="0.6">
      <c r="B10" s="456" t="s">
        <v>45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95">
        <f>IF(AD11=0,AD25,IF(AD11=1,-AD25,""))</f>
        <v>45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15.3" thickBot="1" x14ac:dyDescent="0.6">
      <c r="A11" s="64" t="s">
        <v>6</v>
      </c>
      <c r="B11" s="29">
        <v>1</v>
      </c>
      <c r="C11" s="30">
        <v>1</v>
      </c>
      <c r="D11" s="31">
        <v>0</v>
      </c>
      <c r="E11" s="29">
        <v>1</v>
      </c>
      <c r="F11" s="30">
        <v>0</v>
      </c>
      <c r="G11" s="31">
        <v>1</v>
      </c>
      <c r="H11" s="29">
        <v>0</v>
      </c>
      <c r="I11" s="32">
        <v>1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61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</v>
      </c>
      <c r="AC11" s="31">
        <v>0</v>
      </c>
      <c r="AD11" s="33">
        <v>0</v>
      </c>
      <c r="AE11" s="29">
        <v>1</v>
      </c>
      <c r="AF11" s="31">
        <v>1</v>
      </c>
      <c r="AG11" s="25">
        <f>IF(SUM(B11:AF11)=0,0,IF(ISEVEN(COUNTIFS(B11:AF11,"=1")),1,0))</f>
        <v>1</v>
      </c>
    </row>
    <row r="12" spans="1:33" ht="15.3" customHeight="1" thickBot="1" x14ac:dyDescent="0.6">
      <c r="A12" s="64" t="s">
        <v>19</v>
      </c>
      <c r="B12" s="441">
        <f>SUM(B25:C25)</f>
        <v>3</v>
      </c>
      <c r="C12" s="443"/>
      <c r="D12" s="441">
        <f>SUM(D25:F25)</f>
        <v>2</v>
      </c>
      <c r="E12" s="442"/>
      <c r="F12" s="443"/>
      <c r="G12" s="441">
        <f>SUM(G25:I25)</f>
        <v>5</v>
      </c>
      <c r="H12" s="442"/>
      <c r="I12" s="443"/>
      <c r="J12" s="15"/>
      <c r="K12" s="15"/>
      <c r="L12" s="513"/>
      <c r="M12" s="512"/>
      <c r="N12" s="512"/>
      <c r="O12" s="512"/>
      <c r="P12" s="512">
        <v>1.0999999999999999E-2</v>
      </c>
      <c r="Q12" s="512">
        <v>2.1999999999999999E-2</v>
      </c>
      <c r="R12" s="512">
        <v>4.3900000000000002E-2</v>
      </c>
      <c r="S12" s="512">
        <v>8.7900000000000006E-2</v>
      </c>
      <c r="T12" s="512">
        <v>0.17580000000000001</v>
      </c>
      <c r="U12" s="512">
        <v>0.35160000000000002</v>
      </c>
      <c r="V12" s="512">
        <v>0.70309999999999995</v>
      </c>
      <c r="W12" s="512">
        <v>1.4061999999999999</v>
      </c>
      <c r="X12" s="512">
        <v>2.8125</v>
      </c>
      <c r="Y12" s="512">
        <v>5.625</v>
      </c>
      <c r="Z12" s="512">
        <v>11.25</v>
      </c>
      <c r="AA12" s="512">
        <v>22.5</v>
      </c>
      <c r="AB12" s="512">
        <v>45</v>
      </c>
      <c r="AC12" s="516">
        <v>90</v>
      </c>
      <c r="AD12" s="511">
        <v>-180</v>
      </c>
      <c r="AE12" s="64"/>
      <c r="AF12" s="64"/>
      <c r="AG12" s="64"/>
    </row>
    <row r="13" spans="1:33" ht="15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51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45"/>
      <c r="AD13" s="459"/>
      <c r="AE13" s="64"/>
      <c r="AF13" s="64"/>
      <c r="AG13" s="64"/>
    </row>
    <row r="14" spans="1:33" ht="35.4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515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46"/>
      <c r="AD14" s="460"/>
      <c r="AE14" s="64"/>
      <c r="AF14" s="64"/>
      <c r="AG14" s="64"/>
    </row>
    <row r="15" spans="1:33" ht="15.3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4.7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5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  <c r="AI17"/>
    </row>
    <row r="18" spans="1:35" ht="20.100000000000001" customHeight="1" thickBot="1" x14ac:dyDescent="0.6">
      <c r="A18" s="64" t="s">
        <v>6</v>
      </c>
      <c r="B18" s="11">
        <f>B11</f>
        <v>1</v>
      </c>
      <c r="C18" s="11">
        <f t="shared" ref="C18:I18" si="1">C11</f>
        <v>1</v>
      </c>
      <c r="D18" s="11">
        <f t="shared" si="1"/>
        <v>0</v>
      </c>
      <c r="E18" s="11">
        <f t="shared" si="1"/>
        <v>1</v>
      </c>
      <c r="F18" s="11">
        <f t="shared" si="1"/>
        <v>0</v>
      </c>
      <c r="G18" s="11">
        <f t="shared" si="1"/>
        <v>1</v>
      </c>
      <c r="H18" s="11">
        <f t="shared" si="1"/>
        <v>0</v>
      </c>
      <c r="I18" s="11">
        <f t="shared" si="1"/>
        <v>1</v>
      </c>
      <c r="J18" s="11">
        <f>IF(J11=0,0, IF(J11=1,1,""))</f>
        <v>0</v>
      </c>
      <c r="K18" s="13">
        <f>IF(K11=0,0, IF(K11=1,1,""))</f>
        <v>0</v>
      </c>
      <c r="L18" s="38">
        <f t="shared" ref="L18:AC18" si="2">IF($AD$11=0,L11,L28)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1</v>
      </c>
      <c r="AC18" s="13">
        <f t="shared" si="2"/>
        <v>0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1</v>
      </c>
    </row>
    <row r="19" spans="1:35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5" ht="20.100000000000001" customHeight="1" thickBot="1" x14ac:dyDescent="0.6">
      <c r="A20" s="2" t="s">
        <v>41</v>
      </c>
      <c r="B20" s="441" t="str">
        <f t="shared" ref="B20" si="3">DEC2HEX(B18*1+C18*2+D18*4+E18*8)</f>
        <v>B</v>
      </c>
      <c r="C20" s="442"/>
      <c r="D20" s="442"/>
      <c r="E20" s="443"/>
      <c r="F20" s="441" t="str">
        <f t="shared" ref="F20" si="4">DEC2HEX(F18*1+G18*2+H18*4+I18*8)</f>
        <v>A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0</v>
      </c>
      <c r="S20" s="442"/>
      <c r="T20" s="442"/>
      <c r="U20" s="443"/>
      <c r="V20" s="441" t="str">
        <f t="shared" ref="V20" si="8">DEC2HEX(V18*1+W18*2+X18*4+Y18*8)</f>
        <v>0</v>
      </c>
      <c r="W20" s="442"/>
      <c r="X20" s="442"/>
      <c r="Y20" s="443"/>
      <c r="Z20" s="441" t="str">
        <f t="shared" ref="Z20" si="9">DEC2HEX(Z18*1+AA18*2+AB18*4+AC18*8)</f>
        <v>4</v>
      </c>
      <c r="AA20" s="442"/>
      <c r="AB20" s="442"/>
      <c r="AC20" s="443"/>
      <c r="AD20" s="441" t="str">
        <f t="shared" ref="AD20" si="10">DEC2HEX(AD18*1+AE18*2+AF18*4+AG18*8)</f>
        <v>E</v>
      </c>
      <c r="AE20" s="442"/>
      <c r="AF20" s="442"/>
      <c r="AG20" s="443"/>
    </row>
    <row r="21" spans="1:35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5" x14ac:dyDescent="0.55000000000000004">
      <c r="A22"/>
    </row>
    <row r="23" spans="1:35" ht="15" customHeight="1" x14ac:dyDescent="0.55000000000000004">
      <c r="A23"/>
      <c r="B23" s="295" t="s">
        <v>436</v>
      </c>
      <c r="N23" s="44"/>
    </row>
    <row r="24" spans="1:35" ht="15" customHeight="1" x14ac:dyDescent="0.55000000000000004">
      <c r="A24"/>
      <c r="L24" s="2" t="str">
        <f>IF(ISBLANK(L12),"",L16)</f>
        <v/>
      </c>
      <c r="M24" s="2" t="str">
        <f t="shared" ref="M24:O24" si="11">IF(ISBLANK(M12),"",M16)</f>
        <v/>
      </c>
      <c r="N24" s="2" t="str">
        <f t="shared" si="11"/>
        <v/>
      </c>
      <c r="O24" s="2" t="str">
        <f t="shared" si="11"/>
        <v/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5" s="10" customFormat="1" ht="46.5" customHeight="1" x14ac:dyDescent="0.55000000000000004">
      <c r="A25"/>
      <c r="B25" s="2">
        <f>IF(B11=0,0, IF(B11=1,2,""))</f>
        <v>2</v>
      </c>
      <c r="C25" s="2">
        <f>IF(C11=0,0, IF(C11=1,1,""))</f>
        <v>1</v>
      </c>
      <c r="D25" s="2">
        <f>IF(D11=0,0, IF(D11=1,4,""))</f>
        <v>0</v>
      </c>
      <c r="E25" s="2">
        <f>IF(E11=0,0, IF(E11=1,2,""))</f>
        <v>2</v>
      </c>
      <c r="F25" s="2">
        <f>IF(F11=0,0, IF(F11=1,1,""))</f>
        <v>0</v>
      </c>
      <c r="G25" s="2">
        <f>IF(G11=0,0, IF(G11=1,4,""))</f>
        <v>4</v>
      </c>
      <c r="H25" s="2">
        <f>IF(H11=0,0, IF(H11=1,2,""))</f>
        <v>0</v>
      </c>
      <c r="I25" s="2">
        <f>IF(I11=0,0, IF(I11=1,1,""))</f>
        <v>1</v>
      </c>
      <c r="L25" s="16"/>
      <c r="M25" s="16" t="str">
        <f t="shared" ref="M25:AE25" si="12">IF(ISBLANK(M12),"",IF(M11=1,M12,0))</f>
        <v/>
      </c>
      <c r="N25" s="16" t="str">
        <f t="shared" si="12"/>
        <v/>
      </c>
      <c r="O25" s="16" t="str">
        <f t="shared" si="12"/>
        <v/>
      </c>
      <c r="P25" s="59">
        <f t="shared" si="12"/>
        <v>0</v>
      </c>
      <c r="Q25" s="59">
        <f t="shared" si="12"/>
        <v>0</v>
      </c>
      <c r="R25" s="59">
        <f t="shared" si="12"/>
        <v>0</v>
      </c>
      <c r="S25" s="59">
        <f t="shared" si="12"/>
        <v>0</v>
      </c>
      <c r="T25" s="59">
        <f t="shared" si="12"/>
        <v>0</v>
      </c>
      <c r="U25" s="59">
        <f t="shared" si="12"/>
        <v>0</v>
      </c>
      <c r="V25" s="59">
        <f t="shared" si="12"/>
        <v>0</v>
      </c>
      <c r="W25" s="59">
        <f t="shared" si="12"/>
        <v>0</v>
      </c>
      <c r="X25" s="59">
        <f t="shared" si="12"/>
        <v>0</v>
      </c>
      <c r="Y25" s="59">
        <f t="shared" si="12"/>
        <v>0</v>
      </c>
      <c r="Z25" s="59">
        <f t="shared" si="12"/>
        <v>0</v>
      </c>
      <c r="AA25" s="59">
        <f t="shared" si="12"/>
        <v>0</v>
      </c>
      <c r="AB25" s="59">
        <f t="shared" si="12"/>
        <v>45</v>
      </c>
      <c r="AC25" s="59">
        <f t="shared" si="12"/>
        <v>0</v>
      </c>
      <c r="AD25" s="59">
        <f>SUM(L25:AC25)</f>
        <v>45</v>
      </c>
      <c r="AE25" s="16" t="str">
        <f t="shared" si="12"/>
        <v/>
      </c>
    </row>
    <row r="26" spans="1:35" s="2" customFormat="1" ht="56.25" customHeight="1" x14ac:dyDescent="0.55000000000000004">
      <c r="F26" s="18"/>
      <c r="G26" s="18"/>
      <c r="H26" s="18"/>
      <c r="I26" s="18"/>
      <c r="J26" s="18"/>
      <c r="L26" s="18">
        <v>0</v>
      </c>
      <c r="M26" s="18">
        <v>0</v>
      </c>
      <c r="N26" s="18">
        <v>0</v>
      </c>
      <c r="O26" s="18">
        <v>0</v>
      </c>
      <c r="P26" s="18">
        <f>IF(P11=1,2^4,0)</f>
        <v>0</v>
      </c>
      <c r="Q26" s="18">
        <f>IF(Q11=1,2^5,0)</f>
        <v>0</v>
      </c>
      <c r="R26" s="18">
        <f>IF(R11=1,2^6,0)</f>
        <v>0</v>
      </c>
      <c r="S26" s="18">
        <f>IF(S11=1,2^7,0)</f>
        <v>0</v>
      </c>
      <c r="T26" s="18">
        <f>IF(T11=1,2^8,0)</f>
        <v>0</v>
      </c>
      <c r="U26" s="18">
        <f>IF(U11=1,2^9,0)</f>
        <v>0</v>
      </c>
      <c r="V26" s="18">
        <f>IF(V11=1,2^10,0)</f>
        <v>0</v>
      </c>
      <c r="W26" s="18">
        <f>IF(W11=1,2^11,0)</f>
        <v>0</v>
      </c>
      <c r="X26" s="18">
        <f>IF(X11=1,2^12,0)</f>
        <v>0</v>
      </c>
      <c r="Y26" s="18">
        <f>IF(Y11=1,2^13,0)</f>
        <v>0</v>
      </c>
      <c r="Z26" s="18">
        <f>IF(Z11=1,2^14,0)</f>
        <v>0</v>
      </c>
      <c r="AA26" s="18">
        <f>IF(AA11=1,2^15,0)</f>
        <v>0</v>
      </c>
      <c r="AB26" s="18">
        <f>IF(AB11=1,2^16,0)</f>
        <v>65536</v>
      </c>
      <c r="AC26" s="18">
        <f>IF(AC11=1,2^17,0)</f>
        <v>0</v>
      </c>
      <c r="AD26" s="18">
        <f>2^18-SUM(L26:AC26)</f>
        <v>196608</v>
      </c>
      <c r="AE26" s="18"/>
      <c r="AG26" s="18"/>
    </row>
    <row r="27" spans="1:35" s="10" customFormat="1" ht="47.25" customHeight="1" x14ac:dyDescent="0.55000000000000004">
      <c r="L27" s="51">
        <f>INT(AD26/2)</f>
        <v>98304</v>
      </c>
      <c r="M27" s="51">
        <f>INT(L27/2)</f>
        <v>49152</v>
      </c>
      <c r="N27" s="51">
        <f t="shared" ref="N27:AC27" si="13">INT(M27/2)</f>
        <v>24576</v>
      </c>
      <c r="O27" s="51">
        <f t="shared" si="13"/>
        <v>12288</v>
      </c>
      <c r="P27" s="51">
        <f t="shared" si="13"/>
        <v>6144</v>
      </c>
      <c r="Q27" s="51">
        <f t="shared" si="13"/>
        <v>3072</v>
      </c>
      <c r="R27" s="51">
        <f t="shared" si="13"/>
        <v>1536</v>
      </c>
      <c r="S27" s="51">
        <f t="shared" si="13"/>
        <v>768</v>
      </c>
      <c r="T27" s="51">
        <f t="shared" si="13"/>
        <v>384</v>
      </c>
      <c r="U27" s="51">
        <f t="shared" si="13"/>
        <v>192</v>
      </c>
      <c r="V27" s="51">
        <f t="shared" si="13"/>
        <v>96</v>
      </c>
      <c r="W27" s="51">
        <f t="shared" si="13"/>
        <v>48</v>
      </c>
      <c r="X27" s="51">
        <f t="shared" si="13"/>
        <v>24</v>
      </c>
      <c r="Y27" s="51">
        <f t="shared" si="13"/>
        <v>12</v>
      </c>
      <c r="Z27" s="51">
        <f t="shared" si="13"/>
        <v>6</v>
      </c>
      <c r="AA27" s="51">
        <f t="shared" si="13"/>
        <v>3</v>
      </c>
      <c r="AB27" s="51">
        <f t="shared" si="13"/>
        <v>1</v>
      </c>
      <c r="AC27" s="51">
        <f t="shared" si="13"/>
        <v>0</v>
      </c>
      <c r="AD27" s="51"/>
      <c r="AE27" s="51"/>
      <c r="AF27" s="51"/>
    </row>
    <row r="28" spans="1:35" s="10" customFormat="1" ht="15.75" customHeight="1" x14ac:dyDescent="0.55000000000000004">
      <c r="L28" s="52">
        <f>MOD(AD26,2)</f>
        <v>0</v>
      </c>
      <c r="M28" s="52">
        <f>MOD(L27,2)</f>
        <v>0</v>
      </c>
      <c r="N28" s="52">
        <f t="shared" ref="N28:AC28" si="14">MOD(M27,2)</f>
        <v>0</v>
      </c>
      <c r="O28" s="52">
        <f t="shared" si="14"/>
        <v>0</v>
      </c>
      <c r="P28" s="52">
        <f t="shared" si="14"/>
        <v>0</v>
      </c>
      <c r="Q28" s="52">
        <f t="shared" si="14"/>
        <v>0</v>
      </c>
      <c r="R28" s="52">
        <f t="shared" si="14"/>
        <v>0</v>
      </c>
      <c r="S28" s="52">
        <f t="shared" si="14"/>
        <v>0</v>
      </c>
      <c r="T28" s="52">
        <f t="shared" si="14"/>
        <v>0</v>
      </c>
      <c r="U28" s="52">
        <f t="shared" si="14"/>
        <v>0</v>
      </c>
      <c r="V28" s="52">
        <f t="shared" si="14"/>
        <v>0</v>
      </c>
      <c r="W28" s="52">
        <f t="shared" si="14"/>
        <v>0</v>
      </c>
      <c r="X28" s="52">
        <f t="shared" si="14"/>
        <v>0</v>
      </c>
      <c r="Y28" s="52">
        <f t="shared" si="14"/>
        <v>0</v>
      </c>
      <c r="Z28" s="52">
        <f t="shared" si="14"/>
        <v>0</v>
      </c>
      <c r="AA28" s="52">
        <f t="shared" si="14"/>
        <v>0</v>
      </c>
      <c r="AB28" s="52">
        <f t="shared" si="14"/>
        <v>1</v>
      </c>
      <c r="AC28" s="52">
        <f t="shared" si="14"/>
        <v>1</v>
      </c>
      <c r="AD28" s="52"/>
      <c r="AE28" s="52"/>
    </row>
    <row r="29" spans="1:35" ht="15" customHeight="1" x14ac:dyDescent="0.55000000000000004">
      <c r="A29"/>
    </row>
    <row r="30" spans="1:35" ht="15.75" customHeight="1" x14ac:dyDescent="0.55000000000000004">
      <c r="A30"/>
    </row>
    <row r="31" spans="1:35" x14ac:dyDescent="0.55000000000000004">
      <c r="A31"/>
    </row>
    <row r="32" spans="1:35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R12:R14"/>
    <mergeCell ref="S12:S14"/>
    <mergeCell ref="Z20:AC20"/>
    <mergeCell ref="AD20:AG20"/>
    <mergeCell ref="Z12:Z14"/>
    <mergeCell ref="AA12:AA14"/>
    <mergeCell ref="AB12:AB14"/>
    <mergeCell ref="AC12:AC14"/>
    <mergeCell ref="AE10:AF10"/>
    <mergeCell ref="A15:C15"/>
    <mergeCell ref="B17:I17"/>
    <mergeCell ref="J17:K17"/>
    <mergeCell ref="L17:AC17"/>
    <mergeCell ref="B12:C12"/>
    <mergeCell ref="D12:F12"/>
    <mergeCell ref="T12:T14"/>
    <mergeCell ref="U12:U14"/>
    <mergeCell ref="V12:V14"/>
    <mergeCell ref="W12:W14"/>
    <mergeCell ref="X12:X14"/>
    <mergeCell ref="Y12:Y14"/>
    <mergeCell ref="N12:N14"/>
    <mergeCell ref="O12:O14"/>
    <mergeCell ref="AE17:AF17"/>
    <mergeCell ref="AD12:AD14"/>
    <mergeCell ref="M12:M14"/>
    <mergeCell ref="B20:E20"/>
    <mergeCell ref="F20:I20"/>
    <mergeCell ref="B10:I10"/>
    <mergeCell ref="J10:K10"/>
    <mergeCell ref="L10:Y10"/>
    <mergeCell ref="P12:P14"/>
    <mergeCell ref="Q12:Q14"/>
    <mergeCell ref="G12:I12"/>
    <mergeCell ref="L12:L14"/>
    <mergeCell ref="Z10:AC10"/>
    <mergeCell ref="J20:M20"/>
    <mergeCell ref="N20:Q20"/>
    <mergeCell ref="R20:U20"/>
    <mergeCell ref="V20:Y20"/>
  </mergeCells>
  <conditionalFormatting sqref="B11:AF11">
    <cfRule type="cellIs" dxfId="12" priority="2" operator="lessThan">
      <formula>0</formula>
    </cfRule>
    <cfRule type="cellIs" dxfId="11" priority="3" operator="greaterThan">
      <formula>1</formula>
    </cfRule>
  </conditionalFormatting>
  <conditionalFormatting sqref="L11:O11">
    <cfRule type="cellIs" dxfId="10" priority="1" operator="greaterThan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60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25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54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3" x14ac:dyDescent="0.55000000000000004">
      <c r="A5" s="1"/>
      <c r="B5" s="3" t="s">
        <v>55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3" x14ac:dyDescent="0.55000000000000004">
      <c r="A6" s="1"/>
      <c r="B6" s="3" t="s">
        <v>24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8"/>
      <c r="X6" s="34"/>
      <c r="Y6" s="35"/>
      <c r="Z6" s="34"/>
      <c r="AA6" s="34"/>
      <c r="AB6" s="35"/>
      <c r="AC6" s="34"/>
      <c r="AD6" s="34"/>
      <c r="AE6" s="4"/>
      <c r="AF6" s="4"/>
      <c r="AG6" s="4"/>
    </row>
    <row r="7" spans="1:33" ht="17.7" x14ac:dyDescent="0.6">
      <c r="A7" s="1"/>
      <c r="B7" s="3" t="s">
        <v>443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95">
        <f>IF(AD11=0,AD25,IF(AD11=1,-AD25,""))</f>
        <v>2080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1</v>
      </c>
      <c r="C11" s="30">
        <v>0</v>
      </c>
      <c r="D11" s="31">
        <v>0</v>
      </c>
      <c r="E11" s="29">
        <v>0</v>
      </c>
      <c r="F11" s="30">
        <v>1</v>
      </c>
      <c r="G11" s="31">
        <v>0</v>
      </c>
      <c r="H11" s="29">
        <v>0</v>
      </c>
      <c r="I11" s="32">
        <v>0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1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1">
        <v>1</v>
      </c>
      <c r="AD11" s="365">
        <v>0</v>
      </c>
      <c r="AE11" s="29">
        <v>1</v>
      </c>
      <c r="AF11" s="31">
        <v>1</v>
      </c>
      <c r="AG11" s="25">
        <f>IF(SUM(B11:AF11)=0,0,IF(ISEVEN(COUNTIFS(B11:AF11,"=1")),1,0))</f>
        <v>1</v>
      </c>
    </row>
    <row r="12" spans="1:33" ht="20.100000000000001" customHeight="1" thickBot="1" x14ac:dyDescent="0.6">
      <c r="A12" s="64" t="s">
        <v>19</v>
      </c>
      <c r="B12" s="441">
        <f>SUM(B25:C25)</f>
        <v>2</v>
      </c>
      <c r="C12" s="443"/>
      <c r="D12" s="441">
        <f>SUM(D25:F25)</f>
        <v>1</v>
      </c>
      <c r="E12" s="442"/>
      <c r="F12" s="443"/>
      <c r="G12" s="441">
        <f>SUM(G25:I25)</f>
        <v>0</v>
      </c>
      <c r="H12" s="442"/>
      <c r="I12" s="443"/>
      <c r="J12" s="15"/>
      <c r="K12" s="15"/>
      <c r="L12" s="496"/>
      <c r="M12" s="517"/>
      <c r="N12" s="517"/>
      <c r="O12" s="517">
        <f>2^-3</f>
        <v>0.125</v>
      </c>
      <c r="P12" s="517">
        <f>2^-2</f>
        <v>0.25</v>
      </c>
      <c r="Q12" s="517">
        <f>2^-1</f>
        <v>0.5</v>
      </c>
      <c r="R12" s="517">
        <f>2^0</f>
        <v>1</v>
      </c>
      <c r="S12" s="517">
        <f>2^1</f>
        <v>2</v>
      </c>
      <c r="T12" s="517">
        <f>2^2</f>
        <v>4</v>
      </c>
      <c r="U12" s="517">
        <f>2^3</f>
        <v>8</v>
      </c>
      <c r="V12" s="517">
        <f>2^4</f>
        <v>16</v>
      </c>
      <c r="W12" s="517">
        <f>2^5</f>
        <v>32</v>
      </c>
      <c r="X12" s="517">
        <f>2^6</f>
        <v>64</v>
      </c>
      <c r="Y12" s="517">
        <f>2^7</f>
        <v>128</v>
      </c>
      <c r="Z12" s="517">
        <f>2^8</f>
        <v>256</v>
      </c>
      <c r="AA12" s="517">
        <f>2^9</f>
        <v>512</v>
      </c>
      <c r="AB12" s="517">
        <f>2^10</f>
        <v>1024</v>
      </c>
      <c r="AC12" s="520">
        <f>2^11</f>
        <v>2048</v>
      </c>
      <c r="AD12" s="511">
        <v>-4096</v>
      </c>
      <c r="AE12" s="64"/>
      <c r="AF12" s="64"/>
      <c r="AG12" s="64"/>
    </row>
    <row r="13" spans="1:33" ht="15.75" customHeight="1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497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21"/>
      <c r="AD13" s="459"/>
      <c r="AE13" s="64"/>
      <c r="AF13" s="64"/>
      <c r="AG13" s="64"/>
    </row>
    <row r="14" spans="1:33" ht="30.6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498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22"/>
      <c r="AD14" s="460"/>
      <c r="AE14" s="64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1</v>
      </c>
      <c r="C18" s="11">
        <f t="shared" ref="C18:I18" si="1">C11</f>
        <v>0</v>
      </c>
      <c r="D18" s="11">
        <f t="shared" si="1"/>
        <v>0</v>
      </c>
      <c r="E18" s="11">
        <f t="shared" si="1"/>
        <v>0</v>
      </c>
      <c r="F18" s="11">
        <f t="shared" si="1"/>
        <v>1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>IF(J11=0,0, IF(J11=1,1,""))</f>
        <v>0</v>
      </c>
      <c r="K18" s="13">
        <f>IF(K11=0,0, IF(K11=1,1,""))</f>
        <v>0</v>
      </c>
      <c r="L18" s="38">
        <f>L11</f>
        <v>0</v>
      </c>
      <c r="M18" s="38">
        <f t="shared" ref="M18:AC18" si="2">M11</f>
        <v>0</v>
      </c>
      <c r="N18" s="38">
        <f t="shared" si="2"/>
        <v>0</v>
      </c>
      <c r="O18" s="38">
        <f t="shared" si="2"/>
        <v>0</v>
      </c>
      <c r="P18" s="38">
        <f t="shared" si="2"/>
        <v>0</v>
      </c>
      <c r="Q18" s="38">
        <f t="shared" si="2"/>
        <v>0</v>
      </c>
      <c r="R18" s="38">
        <f t="shared" si="2"/>
        <v>0</v>
      </c>
      <c r="S18" s="38">
        <f t="shared" si="2"/>
        <v>0</v>
      </c>
      <c r="T18" s="38">
        <f t="shared" si="2"/>
        <v>0</v>
      </c>
      <c r="U18" s="38">
        <f t="shared" si="2"/>
        <v>0</v>
      </c>
      <c r="V18" s="38">
        <f t="shared" si="2"/>
        <v>0</v>
      </c>
      <c r="W18" s="38">
        <f t="shared" si="2"/>
        <v>1</v>
      </c>
      <c r="X18" s="38">
        <f t="shared" si="2"/>
        <v>0</v>
      </c>
      <c r="Y18" s="38">
        <f t="shared" si="2"/>
        <v>0</v>
      </c>
      <c r="Z18" s="38">
        <f t="shared" si="2"/>
        <v>0</v>
      </c>
      <c r="AA18" s="38">
        <f t="shared" si="2"/>
        <v>0</v>
      </c>
      <c r="AB18" s="38">
        <f t="shared" si="2"/>
        <v>0</v>
      </c>
      <c r="AC18" s="38">
        <f t="shared" si="2"/>
        <v>1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1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 t="shared" ref="B20" si="3">DEC2HEX(B18*1+C18*2+D18*4+E18*8)</f>
        <v>1</v>
      </c>
      <c r="C20" s="442"/>
      <c r="D20" s="442"/>
      <c r="E20" s="443"/>
      <c r="F20" s="441" t="str">
        <f t="shared" ref="F20" si="4">DEC2HEX(F18*1+G18*2+H18*4+I18*8)</f>
        <v>1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0</v>
      </c>
      <c r="S20" s="442"/>
      <c r="T20" s="442"/>
      <c r="U20" s="443"/>
      <c r="V20" s="441" t="str">
        <f t="shared" ref="V20" si="8">DEC2HEX(V18*1+W18*2+X18*4+Y18*8)</f>
        <v>2</v>
      </c>
      <c r="W20" s="442"/>
      <c r="X20" s="442"/>
      <c r="Y20" s="443"/>
      <c r="Z20" s="441" t="str">
        <f t="shared" ref="Z20" si="9">DEC2HEX(Z18*1+AA18*2+AB18*4+AC18*8)</f>
        <v>8</v>
      </c>
      <c r="AA20" s="442"/>
      <c r="AB20" s="442"/>
      <c r="AC20" s="443"/>
      <c r="AD20" s="441" t="str">
        <f t="shared" ref="AD20" si="10">DEC2HEX(AD18*1+AE18*2+AF18*4+AG18*8)</f>
        <v>E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 t="str">
        <f>IF(ISBLANK(L12),"",L16)</f>
        <v/>
      </c>
      <c r="M24" s="2" t="str">
        <f t="shared" ref="M24:N24" si="11">IF(ISBLANK(M12),"",M16)</f>
        <v/>
      </c>
      <c r="N24" s="2" t="str">
        <f t="shared" si="11"/>
        <v/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3" s="10" customFormat="1" ht="49.5" customHeight="1" x14ac:dyDescent="0.55000000000000004">
      <c r="A25"/>
      <c r="B25" s="2">
        <f>IF(B11=0,0, IF(B11=1,2,""))</f>
        <v>2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0</v>
      </c>
      <c r="F25" s="2">
        <f>IF(F11=0,0, IF(F11=1,1,""))</f>
        <v>1</v>
      </c>
      <c r="G25" s="2">
        <f>IF(G11=0,0, IF(G11=1,4,""))</f>
        <v>0</v>
      </c>
      <c r="H25" s="2">
        <f>IF(H11=0,0, IF(H11=1,2,""))</f>
        <v>0</v>
      </c>
      <c r="I25" s="2">
        <f>IF(I11=0,0, IF(I11=1,1,""))</f>
        <v>0</v>
      </c>
      <c r="L25" s="16"/>
      <c r="M25" s="16" t="str">
        <f t="shared" ref="M25:AE25" si="12">IF(ISBLANK(M12),"",IF(M11=1,M12,0))</f>
        <v/>
      </c>
      <c r="N25" s="16" t="str">
        <f t="shared" si="12"/>
        <v/>
      </c>
      <c r="O25" s="59">
        <f t="shared" si="12"/>
        <v>0</v>
      </c>
      <c r="P25" s="59">
        <f t="shared" si="12"/>
        <v>0</v>
      </c>
      <c r="Q25" s="59">
        <f t="shared" si="12"/>
        <v>0</v>
      </c>
      <c r="R25" s="59">
        <f t="shared" si="12"/>
        <v>0</v>
      </c>
      <c r="S25" s="59">
        <f t="shared" si="12"/>
        <v>0</v>
      </c>
      <c r="T25" s="59">
        <f t="shared" si="12"/>
        <v>0</v>
      </c>
      <c r="U25" s="59">
        <f t="shared" si="12"/>
        <v>0</v>
      </c>
      <c r="V25" s="59">
        <f t="shared" si="12"/>
        <v>0</v>
      </c>
      <c r="W25" s="59">
        <f t="shared" si="12"/>
        <v>32</v>
      </c>
      <c r="X25" s="59">
        <f t="shared" si="12"/>
        <v>0</v>
      </c>
      <c r="Y25" s="59">
        <f t="shared" si="12"/>
        <v>0</v>
      </c>
      <c r="Z25" s="59">
        <f t="shared" si="12"/>
        <v>0</v>
      </c>
      <c r="AA25" s="59">
        <f t="shared" si="12"/>
        <v>0</v>
      </c>
      <c r="AB25" s="59">
        <f t="shared" si="12"/>
        <v>0</v>
      </c>
      <c r="AC25" s="59">
        <f t="shared" si="12"/>
        <v>2048</v>
      </c>
      <c r="AD25" s="59">
        <f>SUM(L25:AC25)</f>
        <v>2080</v>
      </c>
      <c r="AE25" s="16" t="str">
        <f t="shared" si="12"/>
        <v/>
      </c>
    </row>
    <row r="26" spans="1:33" s="2" customFormat="1" ht="61.5" customHeight="1" x14ac:dyDescent="0.55000000000000004">
      <c r="F26" s="18"/>
      <c r="G26" s="18"/>
      <c r="H26" s="18"/>
      <c r="I26" s="18"/>
      <c r="J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G26" s="18"/>
    </row>
    <row r="27" spans="1:33" s="10" customFormat="1" ht="50.25" customHeight="1" x14ac:dyDescent="0.55000000000000004"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3" s="10" customFormat="1" ht="15.75" customHeight="1" x14ac:dyDescent="0.55000000000000004"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R12:R14"/>
    <mergeCell ref="S12:S14"/>
    <mergeCell ref="Z20:AC20"/>
    <mergeCell ref="AD20:AG20"/>
    <mergeCell ref="Z12:Z14"/>
    <mergeCell ref="AA12:AA14"/>
    <mergeCell ref="AB12:AB14"/>
    <mergeCell ref="AC12:AC14"/>
    <mergeCell ref="AE10:AF10"/>
    <mergeCell ref="A15:C15"/>
    <mergeCell ref="B17:I17"/>
    <mergeCell ref="J17:K17"/>
    <mergeCell ref="L17:AC17"/>
    <mergeCell ref="B12:C12"/>
    <mergeCell ref="D12:F12"/>
    <mergeCell ref="T12:T14"/>
    <mergeCell ref="U12:U14"/>
    <mergeCell ref="V12:V14"/>
    <mergeCell ref="W12:W14"/>
    <mergeCell ref="X12:X14"/>
    <mergeCell ref="Y12:Y14"/>
    <mergeCell ref="N12:N14"/>
    <mergeCell ref="O12:O14"/>
    <mergeCell ref="AE17:AF17"/>
    <mergeCell ref="AD12:AD14"/>
    <mergeCell ref="M12:M14"/>
    <mergeCell ref="B20:E20"/>
    <mergeCell ref="F20:I20"/>
    <mergeCell ref="B10:I10"/>
    <mergeCell ref="J10:K10"/>
    <mergeCell ref="L10:Y10"/>
    <mergeCell ref="P12:P14"/>
    <mergeCell ref="Q12:Q14"/>
    <mergeCell ref="G12:I12"/>
    <mergeCell ref="L12:L14"/>
    <mergeCell ref="Z10:AC10"/>
    <mergeCell ref="J20:M20"/>
    <mergeCell ref="N20:Q20"/>
    <mergeCell ref="R20:U20"/>
    <mergeCell ref="V20:Y20"/>
  </mergeCells>
  <conditionalFormatting sqref="B11:AF11">
    <cfRule type="cellIs" dxfId="9" priority="3" operator="lessThan">
      <formula>0</formula>
    </cfRule>
    <cfRule type="cellIs" dxfId="8" priority="4" operator="greaterThan">
      <formula>1</formula>
    </cfRule>
  </conditionalFormatting>
  <conditionalFormatting sqref="L11:N11">
    <cfRule type="cellIs" dxfId="7" priority="2" operator="greaterThan">
      <formula>0</formula>
    </cfRule>
  </conditionalFormatting>
  <conditionalFormatting sqref="AD11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workbookViewId="0">
      <selection activeCell="AD15" sqref="AD15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22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23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56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57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24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20.100000000000001" x14ac:dyDescent="0.7">
      <c r="A7" s="1"/>
      <c r="B7" s="3" t="s">
        <v>444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95">
        <f>IF(AD11=0,AD25,IF(AD11=1,-AD25,""))</f>
        <v>212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1</v>
      </c>
      <c r="C11" s="30">
        <v>0</v>
      </c>
      <c r="D11" s="31">
        <v>0</v>
      </c>
      <c r="E11" s="29">
        <v>0</v>
      </c>
      <c r="F11" s="30">
        <v>1</v>
      </c>
      <c r="G11" s="31">
        <v>0</v>
      </c>
      <c r="H11" s="29">
        <v>1</v>
      </c>
      <c r="I11" s="32">
        <v>0</v>
      </c>
      <c r="J11" s="29">
        <v>0</v>
      </c>
      <c r="K11" s="32">
        <v>0</v>
      </c>
      <c r="L11" s="6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1</v>
      </c>
      <c r="R11" s="30">
        <v>0</v>
      </c>
      <c r="S11" s="30">
        <v>1</v>
      </c>
      <c r="T11" s="30">
        <v>0</v>
      </c>
      <c r="U11" s="30">
        <v>1</v>
      </c>
      <c r="V11" s="30">
        <v>1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1">
        <v>0</v>
      </c>
      <c r="AD11" s="33">
        <v>0</v>
      </c>
      <c r="AE11" s="29">
        <v>1</v>
      </c>
      <c r="AF11" s="31">
        <v>1</v>
      </c>
      <c r="AG11" s="25">
        <f>IF(SUM(B11:AF11)=0,0,IF(ISEVEN(COUNTIFS(B11:AF11,"=1")),1,0))</f>
        <v>0</v>
      </c>
    </row>
    <row r="12" spans="1:33" ht="20.100000000000001" customHeight="1" thickBot="1" x14ac:dyDescent="0.6">
      <c r="A12" s="64" t="s">
        <v>19</v>
      </c>
      <c r="B12" s="441">
        <f>SUM(B25:C25)</f>
        <v>2</v>
      </c>
      <c r="C12" s="443"/>
      <c r="D12" s="441">
        <f>SUM(D25:F25)</f>
        <v>1</v>
      </c>
      <c r="E12" s="442"/>
      <c r="F12" s="443"/>
      <c r="G12" s="441">
        <f>SUM(G25:I25)</f>
        <v>2</v>
      </c>
      <c r="H12" s="442"/>
      <c r="I12" s="443"/>
      <c r="J12" s="15"/>
      <c r="K12" s="15"/>
      <c r="L12" s="523"/>
      <c r="M12" s="499">
        <f>2^-2</f>
        <v>0.25</v>
      </c>
      <c r="N12" s="499">
        <f>2^-1</f>
        <v>0.5</v>
      </c>
      <c r="O12" s="499">
        <f>2^0</f>
        <v>1</v>
      </c>
      <c r="P12" s="499">
        <f>2^1</f>
        <v>2</v>
      </c>
      <c r="Q12" s="499">
        <f>2^2</f>
        <v>4</v>
      </c>
      <c r="R12" s="499">
        <f>2^3</f>
        <v>8</v>
      </c>
      <c r="S12" s="499">
        <f>2^4</f>
        <v>16</v>
      </c>
      <c r="T12" s="499">
        <f>2^5</f>
        <v>32</v>
      </c>
      <c r="U12" s="499">
        <f>2^6</f>
        <v>64</v>
      </c>
      <c r="V12" s="499">
        <f>2^7</f>
        <v>128</v>
      </c>
      <c r="W12" s="499">
        <f>2^8</f>
        <v>256</v>
      </c>
      <c r="X12" s="499">
        <f>2^9</f>
        <v>512</v>
      </c>
      <c r="Y12" s="499">
        <f>2^10</f>
        <v>1024</v>
      </c>
      <c r="Z12" s="499">
        <f>2^11</f>
        <v>2048</v>
      </c>
      <c r="AA12" s="499">
        <f>2^12</f>
        <v>4096</v>
      </c>
      <c r="AB12" s="499">
        <f>2^13</f>
        <v>8192</v>
      </c>
      <c r="AC12" s="526">
        <f>2^14</f>
        <v>16384</v>
      </c>
      <c r="AD12" s="511">
        <v>-32768</v>
      </c>
      <c r="AE12" s="64"/>
      <c r="AF12" s="64"/>
      <c r="AG12" s="64"/>
    </row>
    <row r="13" spans="1:33" ht="15.75" customHeight="1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524"/>
      <c r="M13" s="50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27"/>
      <c r="AD13" s="459"/>
      <c r="AE13" s="64"/>
      <c r="AF13" s="64"/>
      <c r="AG13" s="64"/>
    </row>
    <row r="14" spans="1:33" ht="45.6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525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28"/>
      <c r="AD14" s="460"/>
      <c r="AE14" s="64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1</v>
      </c>
      <c r="C18" s="11">
        <f t="shared" ref="C18:I18" si="1">C11</f>
        <v>0</v>
      </c>
      <c r="D18" s="11">
        <f t="shared" si="1"/>
        <v>0</v>
      </c>
      <c r="E18" s="11">
        <f t="shared" si="1"/>
        <v>0</v>
      </c>
      <c r="F18" s="11">
        <f t="shared" si="1"/>
        <v>1</v>
      </c>
      <c r="G18" s="11">
        <f t="shared" si="1"/>
        <v>0</v>
      </c>
      <c r="H18" s="11">
        <f t="shared" si="1"/>
        <v>1</v>
      </c>
      <c r="I18" s="11">
        <f t="shared" si="1"/>
        <v>0</v>
      </c>
      <c r="J18" s="11">
        <f>IF(J11=0,0, IF(J11=1,1,""))</f>
        <v>0</v>
      </c>
      <c r="K18" s="13">
        <f>IF(K11=0,0, IF(K11=1,1,""))</f>
        <v>0</v>
      </c>
      <c r="L18" s="38">
        <f t="shared" ref="L18:AC18" si="2">IF($AD$11=0,L11,L28)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1</v>
      </c>
      <c r="R18" s="12">
        <f t="shared" si="2"/>
        <v>0</v>
      </c>
      <c r="S18" s="12">
        <f t="shared" si="2"/>
        <v>1</v>
      </c>
      <c r="T18" s="12">
        <f t="shared" si="2"/>
        <v>0</v>
      </c>
      <c r="U18" s="12">
        <f t="shared" si="2"/>
        <v>1</v>
      </c>
      <c r="V18" s="12">
        <f t="shared" si="2"/>
        <v>1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0</v>
      </c>
      <c r="AC18" s="13">
        <f t="shared" si="2"/>
        <v>0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0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 t="shared" ref="B20" si="3">DEC2HEX(B18*1+C18*2+D18*4+E18*8)</f>
        <v>1</v>
      </c>
      <c r="C20" s="442"/>
      <c r="D20" s="442"/>
      <c r="E20" s="443"/>
      <c r="F20" s="441" t="str">
        <f t="shared" ref="F20" si="4">DEC2HEX(F18*1+G18*2+H18*4+I18*8)</f>
        <v>5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8</v>
      </c>
      <c r="O20" s="442"/>
      <c r="P20" s="442"/>
      <c r="Q20" s="443"/>
      <c r="R20" s="441" t="str">
        <f t="shared" ref="R20" si="7">DEC2HEX(R18*1+S18*2+T18*4+U18*8)</f>
        <v>A</v>
      </c>
      <c r="S20" s="442"/>
      <c r="T20" s="442"/>
      <c r="U20" s="443"/>
      <c r="V20" s="441" t="str">
        <f t="shared" ref="V20" si="8">DEC2HEX(V18*1+W18*2+X18*4+Y18*8)</f>
        <v>1</v>
      </c>
      <c r="W20" s="442"/>
      <c r="X20" s="442"/>
      <c r="Y20" s="443"/>
      <c r="Z20" s="441" t="str">
        <f t="shared" ref="Z20" si="9">DEC2HEX(Z18*1+AA18*2+AB18*4+AC18*8)</f>
        <v>0</v>
      </c>
      <c r="AA20" s="442"/>
      <c r="AB20" s="442"/>
      <c r="AC20" s="443"/>
      <c r="AD20" s="441" t="str">
        <f t="shared" ref="AD20" si="10">DEC2HEX(AD18*1+AE18*2+AF18*4+AG18*8)</f>
        <v>6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 t="str">
        <f>IF(ISBLANK(L12),"",L16)</f>
        <v/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3" s="10" customFormat="1" ht="55.5" customHeight="1" x14ac:dyDescent="0.55000000000000004">
      <c r="A25"/>
      <c r="B25" s="2">
        <f>IF(B11=0,0, IF(B11=1,2,""))</f>
        <v>2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0</v>
      </c>
      <c r="F25" s="2">
        <f>IF(F11=0,0, IF(F11=1,1,""))</f>
        <v>1</v>
      </c>
      <c r="G25" s="2">
        <f>IF(G11=0,0, IF(G11=1,4,""))</f>
        <v>0</v>
      </c>
      <c r="H25" s="2">
        <f>IF(H11=0,0, IF(H11=1,2,""))</f>
        <v>2</v>
      </c>
      <c r="I25" s="2">
        <f>IF(I11=0,0, IF(I11=1,1,""))</f>
        <v>0</v>
      </c>
      <c r="L25" s="16"/>
      <c r="M25" s="59">
        <f t="shared" ref="M25:AE25" si="11">IF(ISBLANK(M12),"",IF(M11=1,M12,0))</f>
        <v>0</v>
      </c>
      <c r="N25" s="59">
        <f t="shared" si="11"/>
        <v>0</v>
      </c>
      <c r="O25" s="59">
        <f t="shared" si="11"/>
        <v>0</v>
      </c>
      <c r="P25" s="59">
        <f t="shared" si="11"/>
        <v>0</v>
      </c>
      <c r="Q25" s="59">
        <f t="shared" si="11"/>
        <v>4</v>
      </c>
      <c r="R25" s="59">
        <f t="shared" si="11"/>
        <v>0</v>
      </c>
      <c r="S25" s="59">
        <f t="shared" si="11"/>
        <v>16</v>
      </c>
      <c r="T25" s="59">
        <f t="shared" si="11"/>
        <v>0</v>
      </c>
      <c r="U25" s="59">
        <f t="shared" si="11"/>
        <v>64</v>
      </c>
      <c r="V25" s="59">
        <f t="shared" si="11"/>
        <v>128</v>
      </c>
      <c r="W25" s="59">
        <f t="shared" si="11"/>
        <v>0</v>
      </c>
      <c r="X25" s="59">
        <f t="shared" si="11"/>
        <v>0</v>
      </c>
      <c r="Y25" s="59">
        <f t="shared" si="11"/>
        <v>0</v>
      </c>
      <c r="Z25" s="59">
        <f t="shared" si="11"/>
        <v>0</v>
      </c>
      <c r="AA25" s="59">
        <f t="shared" si="11"/>
        <v>0</v>
      </c>
      <c r="AB25" s="59">
        <f t="shared" si="11"/>
        <v>0</v>
      </c>
      <c r="AC25" s="59">
        <f t="shared" si="11"/>
        <v>0</v>
      </c>
      <c r="AD25" s="59">
        <f>SUM(L25:AC25)</f>
        <v>212</v>
      </c>
      <c r="AE25" s="16" t="str">
        <f t="shared" si="11"/>
        <v/>
      </c>
    </row>
    <row r="26" spans="1:33" s="2" customFormat="1" ht="60.75" customHeight="1" x14ac:dyDescent="0.55000000000000004">
      <c r="F26" s="18"/>
      <c r="G26" s="18"/>
      <c r="H26" s="18"/>
      <c r="I26" s="18"/>
      <c r="J26" s="18"/>
      <c r="L26" s="18">
        <v>0</v>
      </c>
      <c r="M26" s="18">
        <f>IF(M11=1,2^1,0)</f>
        <v>0</v>
      </c>
      <c r="N26" s="18">
        <f>IF(N11=1,2^2,0)</f>
        <v>0</v>
      </c>
      <c r="O26" s="18">
        <f>IF(O11=1,2^3,0)</f>
        <v>0</v>
      </c>
      <c r="P26" s="18">
        <f>IF(P11=1,2^4,0)</f>
        <v>0</v>
      </c>
      <c r="Q26" s="18">
        <f>IF(Q11=1,2^5,0)</f>
        <v>32</v>
      </c>
      <c r="R26" s="18">
        <f>IF(R11=1,2^6,0)</f>
        <v>0</v>
      </c>
      <c r="S26" s="18">
        <f>IF(S11=1,2^7,0)</f>
        <v>128</v>
      </c>
      <c r="T26" s="18">
        <f>IF(T11=1,2^8,0)</f>
        <v>0</v>
      </c>
      <c r="U26" s="18">
        <f>IF(U11=1,2^9,0)</f>
        <v>512</v>
      </c>
      <c r="V26" s="18">
        <f>IF(V11=1,2^10,0)</f>
        <v>1024</v>
      </c>
      <c r="W26" s="18">
        <f>IF(W11=1,2^11,0)</f>
        <v>0</v>
      </c>
      <c r="X26" s="18">
        <f>IF(X11=1,2^12,0)</f>
        <v>0</v>
      </c>
      <c r="Y26" s="18">
        <f>IF(Y11=1,2^13,0)</f>
        <v>0</v>
      </c>
      <c r="Z26" s="18">
        <f>IF(Z11=1,2^14,0)</f>
        <v>0</v>
      </c>
      <c r="AA26" s="18">
        <f>IF(AA11=1,2^15,0)</f>
        <v>0</v>
      </c>
      <c r="AB26" s="18">
        <f>IF(AB11=1,2^16,0)</f>
        <v>0</v>
      </c>
      <c r="AC26" s="18">
        <f>IF(AC11=1,2^17,0)</f>
        <v>0</v>
      </c>
      <c r="AD26" s="18">
        <f>2^18-SUM(L26:AC26)</f>
        <v>260448</v>
      </c>
      <c r="AE26" s="18"/>
      <c r="AG26" s="18"/>
    </row>
    <row r="27" spans="1:33" s="10" customFormat="1" ht="46.5" customHeight="1" x14ac:dyDescent="0.55000000000000004">
      <c r="L27" s="51">
        <f>INT(AD26/2)</f>
        <v>130224</v>
      </c>
      <c r="M27" s="51">
        <f>INT(L27/2)</f>
        <v>65112</v>
      </c>
      <c r="N27" s="51">
        <f t="shared" ref="N27:AC27" si="12">INT(M27/2)</f>
        <v>32556</v>
      </c>
      <c r="O27" s="51">
        <f t="shared" si="12"/>
        <v>16278</v>
      </c>
      <c r="P27" s="51">
        <f t="shared" si="12"/>
        <v>8139</v>
      </c>
      <c r="Q27" s="51">
        <f t="shared" si="12"/>
        <v>4069</v>
      </c>
      <c r="R27" s="51">
        <f t="shared" si="12"/>
        <v>2034</v>
      </c>
      <c r="S27" s="51">
        <f t="shared" si="12"/>
        <v>1017</v>
      </c>
      <c r="T27" s="51">
        <f t="shared" si="12"/>
        <v>508</v>
      </c>
      <c r="U27" s="51">
        <f t="shared" si="12"/>
        <v>254</v>
      </c>
      <c r="V27" s="51">
        <f t="shared" si="12"/>
        <v>127</v>
      </c>
      <c r="W27" s="51">
        <f t="shared" si="12"/>
        <v>63</v>
      </c>
      <c r="X27" s="51">
        <f t="shared" si="12"/>
        <v>31</v>
      </c>
      <c r="Y27" s="51">
        <f t="shared" si="12"/>
        <v>15</v>
      </c>
      <c r="Z27" s="51">
        <f t="shared" si="12"/>
        <v>7</v>
      </c>
      <c r="AA27" s="51">
        <f t="shared" si="12"/>
        <v>3</v>
      </c>
      <c r="AB27" s="51">
        <f t="shared" si="12"/>
        <v>1</v>
      </c>
      <c r="AC27" s="51">
        <f t="shared" si="12"/>
        <v>0</v>
      </c>
      <c r="AD27" s="51"/>
      <c r="AE27" s="51"/>
      <c r="AF27" s="51"/>
    </row>
    <row r="28" spans="1:33" s="10" customFormat="1" ht="15.75" customHeight="1" x14ac:dyDescent="0.55000000000000004">
      <c r="L28" s="52">
        <f>MOD(AD26,2)</f>
        <v>0</v>
      </c>
      <c r="M28" s="52">
        <f>MOD(L27,2)</f>
        <v>0</v>
      </c>
      <c r="N28" s="52">
        <f t="shared" ref="N28:AC28" si="13">MOD(M27,2)</f>
        <v>0</v>
      </c>
      <c r="O28" s="52">
        <f t="shared" si="13"/>
        <v>0</v>
      </c>
      <c r="P28" s="52">
        <f t="shared" si="13"/>
        <v>0</v>
      </c>
      <c r="Q28" s="52">
        <f t="shared" si="13"/>
        <v>1</v>
      </c>
      <c r="R28" s="52">
        <f t="shared" si="13"/>
        <v>1</v>
      </c>
      <c r="S28" s="52">
        <f t="shared" si="13"/>
        <v>0</v>
      </c>
      <c r="T28" s="52">
        <f t="shared" si="13"/>
        <v>1</v>
      </c>
      <c r="U28" s="52">
        <f t="shared" si="13"/>
        <v>0</v>
      </c>
      <c r="V28" s="52">
        <f t="shared" si="13"/>
        <v>0</v>
      </c>
      <c r="W28" s="52">
        <f t="shared" si="13"/>
        <v>1</v>
      </c>
      <c r="X28" s="52">
        <f t="shared" si="13"/>
        <v>1</v>
      </c>
      <c r="Y28" s="52">
        <f t="shared" si="13"/>
        <v>1</v>
      </c>
      <c r="Z28" s="52">
        <f t="shared" si="13"/>
        <v>1</v>
      </c>
      <c r="AA28" s="52">
        <f t="shared" si="13"/>
        <v>1</v>
      </c>
      <c r="AB28" s="52">
        <f t="shared" si="13"/>
        <v>1</v>
      </c>
      <c r="AC28" s="52">
        <f t="shared" si="13"/>
        <v>1</v>
      </c>
      <c r="AD28" s="52"/>
      <c r="AE28" s="52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R12:R14"/>
    <mergeCell ref="S12:S14"/>
    <mergeCell ref="Z20:AC20"/>
    <mergeCell ref="AD20:AG20"/>
    <mergeCell ref="Z12:Z14"/>
    <mergeCell ref="AA12:AA14"/>
    <mergeCell ref="AB12:AB14"/>
    <mergeCell ref="AC12:AC14"/>
    <mergeCell ref="AE10:AF10"/>
    <mergeCell ref="A15:C15"/>
    <mergeCell ref="B17:I17"/>
    <mergeCell ref="J17:K17"/>
    <mergeCell ref="L17:AC17"/>
    <mergeCell ref="B12:C12"/>
    <mergeCell ref="D12:F12"/>
    <mergeCell ref="T12:T14"/>
    <mergeCell ref="U12:U14"/>
    <mergeCell ref="V12:V14"/>
    <mergeCell ref="W12:W14"/>
    <mergeCell ref="X12:X14"/>
    <mergeCell ref="Y12:Y14"/>
    <mergeCell ref="N12:N14"/>
    <mergeCell ref="O12:O14"/>
    <mergeCell ref="AE17:AF17"/>
    <mergeCell ref="AD12:AD14"/>
    <mergeCell ref="M12:M14"/>
    <mergeCell ref="B20:E20"/>
    <mergeCell ref="F20:I20"/>
    <mergeCell ref="B10:I10"/>
    <mergeCell ref="J10:K10"/>
    <mergeCell ref="L10:Y10"/>
    <mergeCell ref="P12:P14"/>
    <mergeCell ref="Q12:Q14"/>
    <mergeCell ref="G12:I12"/>
    <mergeCell ref="L12:L14"/>
    <mergeCell ref="Z10:AC10"/>
    <mergeCell ref="J20:M20"/>
    <mergeCell ref="N20:Q20"/>
    <mergeCell ref="R20:U20"/>
    <mergeCell ref="V20:Y20"/>
  </mergeCells>
  <conditionalFormatting sqref="B11:AF11">
    <cfRule type="cellIs" dxfId="5" priority="2" operator="lessThan">
      <formula>0</formula>
    </cfRule>
    <cfRule type="cellIs" dxfId="4" priority="3" operator="greaterThan">
      <formula>1</formula>
    </cfRule>
  </conditionalFormatting>
  <conditionalFormatting sqref="L11">
    <cfRule type="cellIs" dxfId="3" priority="1" operator="greater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zoomScale="88" zoomScaleNormal="145"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2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5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58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59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20.100000000000001" x14ac:dyDescent="0.7">
      <c r="A7" s="1"/>
      <c r="B7" s="3" t="s">
        <v>445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95">
        <f>IF(AD11=0,AD25,IF(AD11=1,-AD25,""))</f>
        <v>45.005499999999998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1</v>
      </c>
      <c r="C11" s="30">
        <v>1</v>
      </c>
      <c r="D11" s="31">
        <v>0</v>
      </c>
      <c r="E11" s="29">
        <v>1</v>
      </c>
      <c r="F11" s="30">
        <v>0</v>
      </c>
      <c r="G11" s="31">
        <v>0</v>
      </c>
      <c r="H11" s="29">
        <v>0</v>
      </c>
      <c r="I11" s="32">
        <v>0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30">
        <v>1</v>
      </c>
      <c r="P11" s="30">
        <v>0</v>
      </c>
      <c r="Q11" s="30">
        <v>0</v>
      </c>
      <c r="R11" s="30"/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1</v>
      </c>
      <c r="AC11" s="31">
        <v>0</v>
      </c>
      <c r="AD11" s="33">
        <v>0</v>
      </c>
      <c r="AE11" s="29">
        <v>1</v>
      </c>
      <c r="AF11" s="31">
        <v>1</v>
      </c>
      <c r="AG11" s="25">
        <f>IF(SUM(B11:AF11)=0,0,IF(ISEVEN(COUNTIFS(B11:AF11,"=1")),1,0))</f>
        <v>0</v>
      </c>
    </row>
    <row r="12" spans="1:33" ht="20.100000000000001" customHeight="1" thickBot="1" x14ac:dyDescent="0.6">
      <c r="A12" s="64" t="s">
        <v>19</v>
      </c>
      <c r="B12" s="441">
        <f>SUM(B25:C25)</f>
        <v>3</v>
      </c>
      <c r="C12" s="443"/>
      <c r="D12" s="441">
        <f>SUM(D25:F25)</f>
        <v>2</v>
      </c>
      <c r="E12" s="442"/>
      <c r="F12" s="443"/>
      <c r="G12" s="441">
        <f>SUM(G25:I25)</f>
        <v>0</v>
      </c>
      <c r="H12" s="442"/>
      <c r="I12" s="443"/>
      <c r="J12" s="15"/>
      <c r="K12" s="15"/>
      <c r="L12" s="513"/>
      <c r="M12" s="512"/>
      <c r="N12" s="512"/>
      <c r="O12" s="512">
        <v>5.4999999999999997E-3</v>
      </c>
      <c r="P12" s="512">
        <v>1.0999999999999999E-2</v>
      </c>
      <c r="Q12" s="512">
        <v>2.1999999999999999E-2</v>
      </c>
      <c r="R12" s="512">
        <v>4.3900000000000002E-2</v>
      </c>
      <c r="S12" s="512">
        <v>8.7900000000000006E-2</v>
      </c>
      <c r="T12" s="512">
        <v>0.17580000000000001</v>
      </c>
      <c r="U12" s="512">
        <v>0.35160000000000002</v>
      </c>
      <c r="V12" s="512">
        <v>0.70309999999999995</v>
      </c>
      <c r="W12" s="512">
        <v>1.4061999999999999</v>
      </c>
      <c r="X12" s="512">
        <v>2.8125</v>
      </c>
      <c r="Y12" s="512">
        <v>5.625</v>
      </c>
      <c r="Z12" s="512">
        <v>11.25</v>
      </c>
      <c r="AA12" s="512">
        <v>22.5</v>
      </c>
      <c r="AB12" s="512">
        <v>45</v>
      </c>
      <c r="AC12" s="516">
        <v>90</v>
      </c>
      <c r="AD12" s="511">
        <v>-180</v>
      </c>
      <c r="AE12" s="64"/>
      <c r="AF12" s="64"/>
      <c r="AG12" s="64"/>
    </row>
    <row r="13" spans="1:33" ht="15.75" customHeight="1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514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45"/>
      <c r="AD13" s="459"/>
      <c r="AE13" s="64"/>
      <c r="AF13" s="64"/>
      <c r="AG13" s="64"/>
    </row>
    <row r="14" spans="1:33" ht="30.3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515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46"/>
      <c r="AD14" s="460"/>
      <c r="AE14" s="64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1</v>
      </c>
      <c r="C18" s="11">
        <f t="shared" ref="C18:I18" si="1">C11</f>
        <v>1</v>
      </c>
      <c r="D18" s="11">
        <f t="shared" si="1"/>
        <v>0</v>
      </c>
      <c r="E18" s="11">
        <f t="shared" si="1"/>
        <v>1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>IF(J11=0,0, IF(J11=1,1,""))</f>
        <v>0</v>
      </c>
      <c r="K18" s="13">
        <f>IF(K11=0,0, IF(K11=1,1,""))</f>
        <v>0</v>
      </c>
      <c r="L18" s="38">
        <f t="shared" ref="L18:AC18" si="2">IF($AD$11=0,L11,L28)</f>
        <v>0</v>
      </c>
      <c r="M18" s="12">
        <f t="shared" si="2"/>
        <v>0</v>
      </c>
      <c r="N18" s="12">
        <f t="shared" si="2"/>
        <v>0</v>
      </c>
      <c r="O18" s="12">
        <f t="shared" si="2"/>
        <v>1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t="shared" si="2"/>
        <v>0</v>
      </c>
      <c r="W18" s="12">
        <f t="shared" si="2"/>
        <v>0</v>
      </c>
      <c r="X18" s="12">
        <f t="shared" si="2"/>
        <v>0</v>
      </c>
      <c r="Y18" s="12">
        <f t="shared" si="2"/>
        <v>0</v>
      </c>
      <c r="Z18" s="12">
        <f t="shared" si="2"/>
        <v>0</v>
      </c>
      <c r="AA18" s="12">
        <f t="shared" si="2"/>
        <v>0</v>
      </c>
      <c r="AB18" s="12">
        <f t="shared" si="2"/>
        <v>1</v>
      </c>
      <c r="AC18" s="13">
        <f t="shared" si="2"/>
        <v>0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0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 t="shared" ref="B20" si="3">DEC2HEX(B18*1+C18*2+D18*4+E18*8)</f>
        <v>B</v>
      </c>
      <c r="C20" s="442"/>
      <c r="D20" s="442"/>
      <c r="E20" s="443"/>
      <c r="F20" s="441" t="str">
        <f t="shared" ref="F20" si="4">DEC2HEX(F18*1+G18*2+H18*4+I18*8)</f>
        <v>0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2</v>
      </c>
      <c r="O20" s="442"/>
      <c r="P20" s="442"/>
      <c r="Q20" s="443"/>
      <c r="R20" s="441" t="str">
        <f t="shared" ref="R20" si="7">DEC2HEX(R18*1+S18*2+T18*4+U18*8)</f>
        <v>0</v>
      </c>
      <c r="S20" s="442"/>
      <c r="T20" s="442"/>
      <c r="U20" s="443"/>
      <c r="V20" s="441" t="str">
        <f t="shared" ref="V20" si="8">DEC2HEX(V18*1+W18*2+X18*4+Y18*8)</f>
        <v>0</v>
      </c>
      <c r="W20" s="442"/>
      <c r="X20" s="442"/>
      <c r="Y20" s="443"/>
      <c r="Z20" s="441" t="str">
        <f t="shared" ref="Z20" si="9">DEC2HEX(Z18*1+AA18*2+AB18*4+AC18*8)</f>
        <v>4</v>
      </c>
      <c r="AA20" s="442"/>
      <c r="AB20" s="442"/>
      <c r="AC20" s="443"/>
      <c r="AD20" s="441" t="str">
        <f t="shared" ref="AD20" si="10">DEC2HEX(AD18*1+AE18*2+AF18*4+AG18*8)</f>
        <v>6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 t="str">
        <f>IF(ISBLANK(L12),"",L16)</f>
        <v/>
      </c>
      <c r="M24" s="2" t="str">
        <f t="shared" ref="M24:N24" si="11">IF(ISBLANK(M12),"",M16)</f>
        <v/>
      </c>
      <c r="N24" s="2" t="str">
        <f t="shared" si="11"/>
        <v/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3" s="10" customFormat="1" ht="54" customHeight="1" x14ac:dyDescent="0.55000000000000004">
      <c r="A25"/>
      <c r="B25" s="2">
        <f>IF(B11=0,0, IF(B11=1,2,""))</f>
        <v>2</v>
      </c>
      <c r="C25" s="2">
        <f>IF(C11=0,0, IF(C11=1,1,""))</f>
        <v>1</v>
      </c>
      <c r="D25" s="2">
        <f>IF(D11=0,0, IF(D11=1,4,""))</f>
        <v>0</v>
      </c>
      <c r="E25" s="2">
        <f>IF(E11=0,0, IF(E11=1,2,""))</f>
        <v>2</v>
      </c>
      <c r="F25" s="2">
        <f>IF(F11=0,0, IF(F11=1,1,""))</f>
        <v>0</v>
      </c>
      <c r="G25" s="2">
        <f>IF(G11=0,0, IF(G11=1,4,""))</f>
        <v>0</v>
      </c>
      <c r="H25" s="2">
        <f>IF(H11=0,0, IF(H11=1,2,""))</f>
        <v>0</v>
      </c>
      <c r="I25" s="2">
        <f>IF(I11=0,0, IF(I11=1,1,""))</f>
        <v>0</v>
      </c>
      <c r="L25" s="16"/>
      <c r="M25" s="16" t="str">
        <f t="shared" ref="M25:AE25" si="12">IF(ISBLANK(M12),"",IF(M11=1,M12,0))</f>
        <v/>
      </c>
      <c r="N25" s="16" t="str">
        <f t="shared" si="12"/>
        <v/>
      </c>
      <c r="O25" s="59">
        <f t="shared" si="12"/>
        <v>5.4999999999999997E-3</v>
      </c>
      <c r="P25" s="59">
        <f t="shared" si="12"/>
        <v>0</v>
      </c>
      <c r="Q25" s="59">
        <f t="shared" si="12"/>
        <v>0</v>
      </c>
      <c r="R25" s="59">
        <f t="shared" si="12"/>
        <v>0</v>
      </c>
      <c r="S25" s="59">
        <f t="shared" si="12"/>
        <v>0</v>
      </c>
      <c r="T25" s="59">
        <f t="shared" si="12"/>
        <v>0</v>
      </c>
      <c r="U25" s="59">
        <f t="shared" si="12"/>
        <v>0</v>
      </c>
      <c r="V25" s="59">
        <f t="shared" si="12"/>
        <v>0</v>
      </c>
      <c r="W25" s="59">
        <f t="shared" si="12"/>
        <v>0</v>
      </c>
      <c r="X25" s="59">
        <f t="shared" si="12"/>
        <v>0</v>
      </c>
      <c r="Y25" s="59">
        <f t="shared" si="12"/>
        <v>0</v>
      </c>
      <c r="Z25" s="59">
        <f t="shared" si="12"/>
        <v>0</v>
      </c>
      <c r="AA25" s="59">
        <f t="shared" si="12"/>
        <v>0</v>
      </c>
      <c r="AB25" s="59">
        <f t="shared" si="12"/>
        <v>45</v>
      </c>
      <c r="AC25" s="59">
        <f t="shared" si="12"/>
        <v>0</v>
      </c>
      <c r="AD25" s="59">
        <f>SUM(L25:AC25)</f>
        <v>45.005499999999998</v>
      </c>
      <c r="AE25" s="16" t="str">
        <f t="shared" si="12"/>
        <v/>
      </c>
    </row>
    <row r="26" spans="1:33" s="2" customFormat="1" ht="48.75" customHeight="1" x14ac:dyDescent="0.55000000000000004">
      <c r="F26" s="18"/>
      <c r="G26" s="18"/>
      <c r="H26" s="18"/>
      <c r="I26" s="18"/>
      <c r="J26" s="18"/>
      <c r="L26" s="18">
        <v>0</v>
      </c>
      <c r="M26" s="18">
        <v>0</v>
      </c>
      <c r="N26" s="18">
        <v>0</v>
      </c>
      <c r="O26" s="18">
        <f>IF(O11=1,2^3,0)</f>
        <v>8</v>
      </c>
      <c r="P26" s="18">
        <f>IF(P11=1,2^4,0)</f>
        <v>0</v>
      </c>
      <c r="Q26" s="18">
        <f>IF(Q11=1,2^5,0)</f>
        <v>0</v>
      </c>
      <c r="R26" s="18">
        <f>IF(R11=1,2^6,0)</f>
        <v>0</v>
      </c>
      <c r="S26" s="18">
        <f>IF(S11=1,2^7,0)</f>
        <v>0</v>
      </c>
      <c r="T26" s="18">
        <f>IF(T11=1,2^8,0)</f>
        <v>0</v>
      </c>
      <c r="U26" s="18">
        <f>IF(U11=1,2^9,0)</f>
        <v>0</v>
      </c>
      <c r="V26" s="18">
        <f>IF(V11=1,2^10,0)</f>
        <v>0</v>
      </c>
      <c r="W26" s="18">
        <f>IF(W11=1,2^11,0)</f>
        <v>0</v>
      </c>
      <c r="X26" s="18">
        <f>IF(X11=1,2^12,0)</f>
        <v>0</v>
      </c>
      <c r="Y26" s="18">
        <f>IF(Y11=1,2^13,0)</f>
        <v>0</v>
      </c>
      <c r="Z26" s="18">
        <f>IF(Z11=1,2^14,0)</f>
        <v>0</v>
      </c>
      <c r="AA26" s="18">
        <f>IF(AA11=1,2^15,0)</f>
        <v>0</v>
      </c>
      <c r="AB26" s="18">
        <f>IF(AB11=1,2^16,0)</f>
        <v>65536</v>
      </c>
      <c r="AC26" s="18">
        <f>IF(AC11=1,2^17,0)</f>
        <v>0</v>
      </c>
      <c r="AD26" s="18">
        <f>2^18-SUM(L26:AC26)</f>
        <v>196600</v>
      </c>
      <c r="AE26" s="18"/>
      <c r="AG26" s="18"/>
    </row>
    <row r="27" spans="1:33" s="10" customFormat="1" ht="43.5" customHeight="1" x14ac:dyDescent="0.55000000000000004">
      <c r="L27" s="51">
        <f>INT(AD26/2)</f>
        <v>98300</v>
      </c>
      <c r="M27" s="51">
        <f>INT(L27/2)</f>
        <v>49150</v>
      </c>
      <c r="N27" s="51">
        <f t="shared" ref="N27:AC27" si="13">INT(M27/2)</f>
        <v>24575</v>
      </c>
      <c r="O27" s="51">
        <f t="shared" si="13"/>
        <v>12287</v>
      </c>
      <c r="P27" s="51">
        <f t="shared" si="13"/>
        <v>6143</v>
      </c>
      <c r="Q27" s="51">
        <f t="shared" si="13"/>
        <v>3071</v>
      </c>
      <c r="R27" s="51">
        <f t="shared" si="13"/>
        <v>1535</v>
      </c>
      <c r="S27" s="51">
        <f t="shared" si="13"/>
        <v>767</v>
      </c>
      <c r="T27" s="51">
        <f t="shared" si="13"/>
        <v>383</v>
      </c>
      <c r="U27" s="51">
        <f t="shared" si="13"/>
        <v>191</v>
      </c>
      <c r="V27" s="51">
        <f t="shared" si="13"/>
        <v>95</v>
      </c>
      <c r="W27" s="51">
        <f t="shared" si="13"/>
        <v>47</v>
      </c>
      <c r="X27" s="51">
        <f t="shared" si="13"/>
        <v>23</v>
      </c>
      <c r="Y27" s="51">
        <f t="shared" si="13"/>
        <v>11</v>
      </c>
      <c r="Z27" s="51">
        <f t="shared" si="13"/>
        <v>5</v>
      </c>
      <c r="AA27" s="51">
        <f t="shared" si="13"/>
        <v>2</v>
      </c>
      <c r="AB27" s="51">
        <f t="shared" si="13"/>
        <v>1</v>
      </c>
      <c r="AC27" s="51">
        <f t="shared" si="13"/>
        <v>0</v>
      </c>
      <c r="AD27" s="51"/>
      <c r="AE27" s="51"/>
      <c r="AF27" s="51"/>
    </row>
    <row r="28" spans="1:33" s="10" customFormat="1" ht="15.75" customHeight="1" x14ac:dyDescent="0.55000000000000004">
      <c r="L28" s="52">
        <f>MOD(AD26,2)</f>
        <v>0</v>
      </c>
      <c r="M28" s="52">
        <f>MOD(L27,2)</f>
        <v>0</v>
      </c>
      <c r="N28" s="52">
        <f t="shared" ref="N28:AC28" si="14">MOD(M27,2)</f>
        <v>0</v>
      </c>
      <c r="O28" s="52">
        <f t="shared" si="14"/>
        <v>1</v>
      </c>
      <c r="P28" s="52">
        <f t="shared" si="14"/>
        <v>1</v>
      </c>
      <c r="Q28" s="52">
        <f t="shared" si="14"/>
        <v>1</v>
      </c>
      <c r="R28" s="52">
        <f t="shared" si="14"/>
        <v>1</v>
      </c>
      <c r="S28" s="52">
        <f t="shared" si="14"/>
        <v>1</v>
      </c>
      <c r="T28" s="52">
        <f t="shared" si="14"/>
        <v>1</v>
      </c>
      <c r="U28" s="52">
        <f t="shared" si="14"/>
        <v>1</v>
      </c>
      <c r="V28" s="52">
        <f t="shared" si="14"/>
        <v>1</v>
      </c>
      <c r="W28" s="52">
        <f t="shared" si="14"/>
        <v>1</v>
      </c>
      <c r="X28" s="52">
        <f t="shared" si="14"/>
        <v>1</v>
      </c>
      <c r="Y28" s="52">
        <f t="shared" si="14"/>
        <v>1</v>
      </c>
      <c r="Z28" s="52">
        <f t="shared" si="14"/>
        <v>1</v>
      </c>
      <c r="AA28" s="52">
        <f t="shared" si="14"/>
        <v>1</v>
      </c>
      <c r="AB28" s="52">
        <f t="shared" si="14"/>
        <v>0</v>
      </c>
      <c r="AC28" s="52">
        <f t="shared" si="14"/>
        <v>1</v>
      </c>
      <c r="AD28" s="52"/>
      <c r="AE28" s="52"/>
    </row>
    <row r="29" spans="1:33" s="10" customFormat="1" ht="15" customHeight="1" x14ac:dyDescent="0.55000000000000004"/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R12:R14"/>
    <mergeCell ref="S12:S14"/>
    <mergeCell ref="Z20:AC20"/>
    <mergeCell ref="AD20:AG20"/>
    <mergeCell ref="Z12:Z14"/>
    <mergeCell ref="AA12:AA14"/>
    <mergeCell ref="AB12:AB14"/>
    <mergeCell ref="AC12:AC14"/>
    <mergeCell ref="AE10:AF10"/>
    <mergeCell ref="A15:C15"/>
    <mergeCell ref="B17:I17"/>
    <mergeCell ref="J17:K17"/>
    <mergeCell ref="L17:AC17"/>
    <mergeCell ref="B12:C12"/>
    <mergeCell ref="D12:F12"/>
    <mergeCell ref="T12:T14"/>
    <mergeCell ref="U12:U14"/>
    <mergeCell ref="V12:V14"/>
    <mergeCell ref="W12:W14"/>
    <mergeCell ref="X12:X14"/>
    <mergeCell ref="Y12:Y14"/>
    <mergeCell ref="N12:N14"/>
    <mergeCell ref="O12:O14"/>
    <mergeCell ref="AE17:AF17"/>
    <mergeCell ref="AD12:AD14"/>
    <mergeCell ref="M12:M14"/>
    <mergeCell ref="B20:E20"/>
    <mergeCell ref="F20:I20"/>
    <mergeCell ref="B10:I10"/>
    <mergeCell ref="J10:K10"/>
    <mergeCell ref="L10:Y10"/>
    <mergeCell ref="P12:P14"/>
    <mergeCell ref="Q12:Q14"/>
    <mergeCell ref="G12:I12"/>
    <mergeCell ref="L12:L14"/>
    <mergeCell ref="Z10:AC10"/>
    <mergeCell ref="J20:M20"/>
    <mergeCell ref="N20:Q20"/>
    <mergeCell ref="R20:U20"/>
    <mergeCell ref="V20:Y20"/>
  </mergeCells>
  <conditionalFormatting sqref="B11:AF11">
    <cfRule type="cellIs" dxfId="2" priority="2" operator="lessThan">
      <formula>0</formula>
    </cfRule>
    <cfRule type="cellIs" dxfId="1" priority="3" operator="greaterThan">
      <formula>1</formula>
    </cfRule>
  </conditionalFormatting>
  <conditionalFormatting sqref="L11:N11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workbookViewId="0"/>
  </sheetViews>
  <sheetFormatPr baseColWidth="10" defaultRowHeight="14.4" x14ac:dyDescent="0.55000000000000004"/>
  <cols>
    <col min="1" max="1" width="13.578125" bestFit="1" customWidth="1"/>
    <col min="3" max="34" width="3.41796875" bestFit="1" customWidth="1"/>
    <col min="35" max="35" width="1.578125" bestFit="1" customWidth="1"/>
    <col min="36" max="38" width="3.26171875" bestFit="1" customWidth="1"/>
    <col min="39" max="39" width="3.578125" bestFit="1" customWidth="1"/>
    <col min="40" max="42" width="3.26171875" bestFit="1" customWidth="1"/>
    <col min="43" max="43" width="17.68359375" customWidth="1"/>
    <col min="257" max="257" width="13.578125" bestFit="1" customWidth="1"/>
    <col min="259" max="290" width="3.41796875" bestFit="1" customWidth="1"/>
    <col min="291" max="291" width="1.578125" bestFit="1" customWidth="1"/>
    <col min="292" max="294" width="3.26171875" bestFit="1" customWidth="1"/>
    <col min="295" max="295" width="3.578125" bestFit="1" customWidth="1"/>
    <col min="296" max="298" width="3.26171875" bestFit="1" customWidth="1"/>
    <col min="299" max="299" width="17.68359375" customWidth="1"/>
    <col min="513" max="513" width="13.578125" bestFit="1" customWidth="1"/>
    <col min="515" max="546" width="3.41796875" bestFit="1" customWidth="1"/>
    <col min="547" max="547" width="1.578125" bestFit="1" customWidth="1"/>
    <col min="548" max="550" width="3.26171875" bestFit="1" customWidth="1"/>
    <col min="551" max="551" width="3.578125" bestFit="1" customWidth="1"/>
    <col min="552" max="554" width="3.26171875" bestFit="1" customWidth="1"/>
    <col min="555" max="555" width="17.68359375" customWidth="1"/>
    <col min="769" max="769" width="13.578125" bestFit="1" customWidth="1"/>
    <col min="771" max="802" width="3.41796875" bestFit="1" customWidth="1"/>
    <col min="803" max="803" width="1.578125" bestFit="1" customWidth="1"/>
    <col min="804" max="806" width="3.26171875" bestFit="1" customWidth="1"/>
    <col min="807" max="807" width="3.578125" bestFit="1" customWidth="1"/>
    <col min="808" max="810" width="3.26171875" bestFit="1" customWidth="1"/>
    <col min="811" max="811" width="17.68359375" customWidth="1"/>
    <col min="1025" max="1025" width="13.578125" bestFit="1" customWidth="1"/>
    <col min="1027" max="1058" width="3.41796875" bestFit="1" customWidth="1"/>
    <col min="1059" max="1059" width="1.578125" bestFit="1" customWidth="1"/>
    <col min="1060" max="1062" width="3.26171875" bestFit="1" customWidth="1"/>
    <col min="1063" max="1063" width="3.578125" bestFit="1" customWidth="1"/>
    <col min="1064" max="1066" width="3.26171875" bestFit="1" customWidth="1"/>
    <col min="1067" max="1067" width="17.68359375" customWidth="1"/>
    <col min="1281" max="1281" width="13.578125" bestFit="1" customWidth="1"/>
    <col min="1283" max="1314" width="3.41796875" bestFit="1" customWidth="1"/>
    <col min="1315" max="1315" width="1.578125" bestFit="1" customWidth="1"/>
    <col min="1316" max="1318" width="3.26171875" bestFit="1" customWidth="1"/>
    <col min="1319" max="1319" width="3.578125" bestFit="1" customWidth="1"/>
    <col min="1320" max="1322" width="3.26171875" bestFit="1" customWidth="1"/>
    <col min="1323" max="1323" width="17.68359375" customWidth="1"/>
    <col min="1537" max="1537" width="13.578125" bestFit="1" customWidth="1"/>
    <col min="1539" max="1570" width="3.41796875" bestFit="1" customWidth="1"/>
    <col min="1571" max="1571" width="1.578125" bestFit="1" customWidth="1"/>
    <col min="1572" max="1574" width="3.26171875" bestFit="1" customWidth="1"/>
    <col min="1575" max="1575" width="3.578125" bestFit="1" customWidth="1"/>
    <col min="1576" max="1578" width="3.26171875" bestFit="1" customWidth="1"/>
    <col min="1579" max="1579" width="17.68359375" customWidth="1"/>
    <col min="1793" max="1793" width="13.578125" bestFit="1" customWidth="1"/>
    <col min="1795" max="1826" width="3.41796875" bestFit="1" customWidth="1"/>
    <col min="1827" max="1827" width="1.578125" bestFit="1" customWidth="1"/>
    <col min="1828" max="1830" width="3.26171875" bestFit="1" customWidth="1"/>
    <col min="1831" max="1831" width="3.578125" bestFit="1" customWidth="1"/>
    <col min="1832" max="1834" width="3.26171875" bestFit="1" customWidth="1"/>
    <col min="1835" max="1835" width="17.68359375" customWidth="1"/>
    <col min="2049" max="2049" width="13.578125" bestFit="1" customWidth="1"/>
    <col min="2051" max="2082" width="3.41796875" bestFit="1" customWidth="1"/>
    <col min="2083" max="2083" width="1.578125" bestFit="1" customWidth="1"/>
    <col min="2084" max="2086" width="3.26171875" bestFit="1" customWidth="1"/>
    <col min="2087" max="2087" width="3.578125" bestFit="1" customWidth="1"/>
    <col min="2088" max="2090" width="3.26171875" bestFit="1" customWidth="1"/>
    <col min="2091" max="2091" width="17.68359375" customWidth="1"/>
    <col min="2305" max="2305" width="13.578125" bestFit="1" customWidth="1"/>
    <col min="2307" max="2338" width="3.41796875" bestFit="1" customWidth="1"/>
    <col min="2339" max="2339" width="1.578125" bestFit="1" customWidth="1"/>
    <col min="2340" max="2342" width="3.26171875" bestFit="1" customWidth="1"/>
    <col min="2343" max="2343" width="3.578125" bestFit="1" customWidth="1"/>
    <col min="2344" max="2346" width="3.26171875" bestFit="1" customWidth="1"/>
    <col min="2347" max="2347" width="17.68359375" customWidth="1"/>
    <col min="2561" max="2561" width="13.578125" bestFit="1" customWidth="1"/>
    <col min="2563" max="2594" width="3.41796875" bestFit="1" customWidth="1"/>
    <col min="2595" max="2595" width="1.578125" bestFit="1" customWidth="1"/>
    <col min="2596" max="2598" width="3.26171875" bestFit="1" customWidth="1"/>
    <col min="2599" max="2599" width="3.578125" bestFit="1" customWidth="1"/>
    <col min="2600" max="2602" width="3.26171875" bestFit="1" customWidth="1"/>
    <col min="2603" max="2603" width="17.68359375" customWidth="1"/>
    <col min="2817" max="2817" width="13.578125" bestFit="1" customWidth="1"/>
    <col min="2819" max="2850" width="3.41796875" bestFit="1" customWidth="1"/>
    <col min="2851" max="2851" width="1.578125" bestFit="1" customWidth="1"/>
    <col min="2852" max="2854" width="3.26171875" bestFit="1" customWidth="1"/>
    <col min="2855" max="2855" width="3.578125" bestFit="1" customWidth="1"/>
    <col min="2856" max="2858" width="3.26171875" bestFit="1" customWidth="1"/>
    <col min="2859" max="2859" width="17.68359375" customWidth="1"/>
    <col min="3073" max="3073" width="13.578125" bestFit="1" customWidth="1"/>
    <col min="3075" max="3106" width="3.41796875" bestFit="1" customWidth="1"/>
    <col min="3107" max="3107" width="1.578125" bestFit="1" customWidth="1"/>
    <col min="3108" max="3110" width="3.26171875" bestFit="1" customWidth="1"/>
    <col min="3111" max="3111" width="3.578125" bestFit="1" customWidth="1"/>
    <col min="3112" max="3114" width="3.26171875" bestFit="1" customWidth="1"/>
    <col min="3115" max="3115" width="17.68359375" customWidth="1"/>
    <col min="3329" max="3329" width="13.578125" bestFit="1" customWidth="1"/>
    <col min="3331" max="3362" width="3.41796875" bestFit="1" customWidth="1"/>
    <col min="3363" max="3363" width="1.578125" bestFit="1" customWidth="1"/>
    <col min="3364" max="3366" width="3.26171875" bestFit="1" customWidth="1"/>
    <col min="3367" max="3367" width="3.578125" bestFit="1" customWidth="1"/>
    <col min="3368" max="3370" width="3.26171875" bestFit="1" customWidth="1"/>
    <col min="3371" max="3371" width="17.68359375" customWidth="1"/>
    <col min="3585" max="3585" width="13.578125" bestFit="1" customWidth="1"/>
    <col min="3587" max="3618" width="3.41796875" bestFit="1" customWidth="1"/>
    <col min="3619" max="3619" width="1.578125" bestFit="1" customWidth="1"/>
    <col min="3620" max="3622" width="3.26171875" bestFit="1" customWidth="1"/>
    <col min="3623" max="3623" width="3.578125" bestFit="1" customWidth="1"/>
    <col min="3624" max="3626" width="3.26171875" bestFit="1" customWidth="1"/>
    <col min="3627" max="3627" width="17.68359375" customWidth="1"/>
    <col min="3841" max="3841" width="13.578125" bestFit="1" customWidth="1"/>
    <col min="3843" max="3874" width="3.41796875" bestFit="1" customWidth="1"/>
    <col min="3875" max="3875" width="1.578125" bestFit="1" customWidth="1"/>
    <col min="3876" max="3878" width="3.26171875" bestFit="1" customWidth="1"/>
    <col min="3879" max="3879" width="3.578125" bestFit="1" customWidth="1"/>
    <col min="3880" max="3882" width="3.26171875" bestFit="1" customWidth="1"/>
    <col min="3883" max="3883" width="17.68359375" customWidth="1"/>
    <col min="4097" max="4097" width="13.578125" bestFit="1" customWidth="1"/>
    <col min="4099" max="4130" width="3.41796875" bestFit="1" customWidth="1"/>
    <col min="4131" max="4131" width="1.578125" bestFit="1" customWidth="1"/>
    <col min="4132" max="4134" width="3.26171875" bestFit="1" customWidth="1"/>
    <col min="4135" max="4135" width="3.578125" bestFit="1" customWidth="1"/>
    <col min="4136" max="4138" width="3.26171875" bestFit="1" customWidth="1"/>
    <col min="4139" max="4139" width="17.68359375" customWidth="1"/>
    <col min="4353" max="4353" width="13.578125" bestFit="1" customWidth="1"/>
    <col min="4355" max="4386" width="3.41796875" bestFit="1" customWidth="1"/>
    <col min="4387" max="4387" width="1.578125" bestFit="1" customWidth="1"/>
    <col min="4388" max="4390" width="3.26171875" bestFit="1" customWidth="1"/>
    <col min="4391" max="4391" width="3.578125" bestFit="1" customWidth="1"/>
    <col min="4392" max="4394" width="3.26171875" bestFit="1" customWidth="1"/>
    <col min="4395" max="4395" width="17.68359375" customWidth="1"/>
    <col min="4609" max="4609" width="13.578125" bestFit="1" customWidth="1"/>
    <col min="4611" max="4642" width="3.41796875" bestFit="1" customWidth="1"/>
    <col min="4643" max="4643" width="1.578125" bestFit="1" customWidth="1"/>
    <col min="4644" max="4646" width="3.26171875" bestFit="1" customWidth="1"/>
    <col min="4647" max="4647" width="3.578125" bestFit="1" customWidth="1"/>
    <col min="4648" max="4650" width="3.26171875" bestFit="1" customWidth="1"/>
    <col min="4651" max="4651" width="17.68359375" customWidth="1"/>
    <col min="4865" max="4865" width="13.578125" bestFit="1" customWidth="1"/>
    <col min="4867" max="4898" width="3.41796875" bestFit="1" customWidth="1"/>
    <col min="4899" max="4899" width="1.578125" bestFit="1" customWidth="1"/>
    <col min="4900" max="4902" width="3.26171875" bestFit="1" customWidth="1"/>
    <col min="4903" max="4903" width="3.578125" bestFit="1" customWidth="1"/>
    <col min="4904" max="4906" width="3.26171875" bestFit="1" customWidth="1"/>
    <col min="4907" max="4907" width="17.68359375" customWidth="1"/>
    <col min="5121" max="5121" width="13.578125" bestFit="1" customWidth="1"/>
    <col min="5123" max="5154" width="3.41796875" bestFit="1" customWidth="1"/>
    <col min="5155" max="5155" width="1.578125" bestFit="1" customWidth="1"/>
    <col min="5156" max="5158" width="3.26171875" bestFit="1" customWidth="1"/>
    <col min="5159" max="5159" width="3.578125" bestFit="1" customWidth="1"/>
    <col min="5160" max="5162" width="3.26171875" bestFit="1" customWidth="1"/>
    <col min="5163" max="5163" width="17.68359375" customWidth="1"/>
    <col min="5377" max="5377" width="13.578125" bestFit="1" customWidth="1"/>
    <col min="5379" max="5410" width="3.41796875" bestFit="1" customWidth="1"/>
    <col min="5411" max="5411" width="1.578125" bestFit="1" customWidth="1"/>
    <col min="5412" max="5414" width="3.26171875" bestFit="1" customWidth="1"/>
    <col min="5415" max="5415" width="3.578125" bestFit="1" customWidth="1"/>
    <col min="5416" max="5418" width="3.26171875" bestFit="1" customWidth="1"/>
    <col min="5419" max="5419" width="17.68359375" customWidth="1"/>
    <col min="5633" max="5633" width="13.578125" bestFit="1" customWidth="1"/>
    <col min="5635" max="5666" width="3.41796875" bestFit="1" customWidth="1"/>
    <col min="5667" max="5667" width="1.578125" bestFit="1" customWidth="1"/>
    <col min="5668" max="5670" width="3.26171875" bestFit="1" customWidth="1"/>
    <col min="5671" max="5671" width="3.578125" bestFit="1" customWidth="1"/>
    <col min="5672" max="5674" width="3.26171875" bestFit="1" customWidth="1"/>
    <col min="5675" max="5675" width="17.68359375" customWidth="1"/>
    <col min="5889" max="5889" width="13.578125" bestFit="1" customWidth="1"/>
    <col min="5891" max="5922" width="3.41796875" bestFit="1" customWidth="1"/>
    <col min="5923" max="5923" width="1.578125" bestFit="1" customWidth="1"/>
    <col min="5924" max="5926" width="3.26171875" bestFit="1" customWidth="1"/>
    <col min="5927" max="5927" width="3.578125" bestFit="1" customWidth="1"/>
    <col min="5928" max="5930" width="3.26171875" bestFit="1" customWidth="1"/>
    <col min="5931" max="5931" width="17.68359375" customWidth="1"/>
    <col min="6145" max="6145" width="13.578125" bestFit="1" customWidth="1"/>
    <col min="6147" max="6178" width="3.41796875" bestFit="1" customWidth="1"/>
    <col min="6179" max="6179" width="1.578125" bestFit="1" customWidth="1"/>
    <col min="6180" max="6182" width="3.26171875" bestFit="1" customWidth="1"/>
    <col min="6183" max="6183" width="3.578125" bestFit="1" customWidth="1"/>
    <col min="6184" max="6186" width="3.26171875" bestFit="1" customWidth="1"/>
    <col min="6187" max="6187" width="17.68359375" customWidth="1"/>
    <col min="6401" max="6401" width="13.578125" bestFit="1" customWidth="1"/>
    <col min="6403" max="6434" width="3.41796875" bestFit="1" customWidth="1"/>
    <col min="6435" max="6435" width="1.578125" bestFit="1" customWidth="1"/>
    <col min="6436" max="6438" width="3.26171875" bestFit="1" customWidth="1"/>
    <col min="6439" max="6439" width="3.578125" bestFit="1" customWidth="1"/>
    <col min="6440" max="6442" width="3.26171875" bestFit="1" customWidth="1"/>
    <col min="6443" max="6443" width="17.68359375" customWidth="1"/>
    <col min="6657" max="6657" width="13.578125" bestFit="1" customWidth="1"/>
    <col min="6659" max="6690" width="3.41796875" bestFit="1" customWidth="1"/>
    <col min="6691" max="6691" width="1.578125" bestFit="1" customWidth="1"/>
    <col min="6692" max="6694" width="3.26171875" bestFit="1" customWidth="1"/>
    <col min="6695" max="6695" width="3.578125" bestFit="1" customWidth="1"/>
    <col min="6696" max="6698" width="3.26171875" bestFit="1" customWidth="1"/>
    <col min="6699" max="6699" width="17.68359375" customWidth="1"/>
    <col min="6913" max="6913" width="13.578125" bestFit="1" customWidth="1"/>
    <col min="6915" max="6946" width="3.41796875" bestFit="1" customWidth="1"/>
    <col min="6947" max="6947" width="1.578125" bestFit="1" customWidth="1"/>
    <col min="6948" max="6950" width="3.26171875" bestFit="1" customWidth="1"/>
    <col min="6951" max="6951" width="3.578125" bestFit="1" customWidth="1"/>
    <col min="6952" max="6954" width="3.26171875" bestFit="1" customWidth="1"/>
    <col min="6955" max="6955" width="17.68359375" customWidth="1"/>
    <col min="7169" max="7169" width="13.578125" bestFit="1" customWidth="1"/>
    <col min="7171" max="7202" width="3.41796875" bestFit="1" customWidth="1"/>
    <col min="7203" max="7203" width="1.578125" bestFit="1" customWidth="1"/>
    <col min="7204" max="7206" width="3.26171875" bestFit="1" customWidth="1"/>
    <col min="7207" max="7207" width="3.578125" bestFit="1" customWidth="1"/>
    <col min="7208" max="7210" width="3.26171875" bestFit="1" customWidth="1"/>
    <col min="7211" max="7211" width="17.68359375" customWidth="1"/>
    <col min="7425" max="7425" width="13.578125" bestFit="1" customWidth="1"/>
    <col min="7427" max="7458" width="3.41796875" bestFit="1" customWidth="1"/>
    <col min="7459" max="7459" width="1.578125" bestFit="1" customWidth="1"/>
    <col min="7460" max="7462" width="3.26171875" bestFit="1" customWidth="1"/>
    <col min="7463" max="7463" width="3.578125" bestFit="1" customWidth="1"/>
    <col min="7464" max="7466" width="3.26171875" bestFit="1" customWidth="1"/>
    <col min="7467" max="7467" width="17.68359375" customWidth="1"/>
    <col min="7681" max="7681" width="13.578125" bestFit="1" customWidth="1"/>
    <col min="7683" max="7714" width="3.41796875" bestFit="1" customWidth="1"/>
    <col min="7715" max="7715" width="1.578125" bestFit="1" customWidth="1"/>
    <col min="7716" max="7718" width="3.26171875" bestFit="1" customWidth="1"/>
    <col min="7719" max="7719" width="3.578125" bestFit="1" customWidth="1"/>
    <col min="7720" max="7722" width="3.26171875" bestFit="1" customWidth="1"/>
    <col min="7723" max="7723" width="17.68359375" customWidth="1"/>
    <col min="7937" max="7937" width="13.578125" bestFit="1" customWidth="1"/>
    <col min="7939" max="7970" width="3.41796875" bestFit="1" customWidth="1"/>
    <col min="7971" max="7971" width="1.578125" bestFit="1" customWidth="1"/>
    <col min="7972" max="7974" width="3.26171875" bestFit="1" customWidth="1"/>
    <col min="7975" max="7975" width="3.578125" bestFit="1" customWidth="1"/>
    <col min="7976" max="7978" width="3.26171875" bestFit="1" customWidth="1"/>
    <col min="7979" max="7979" width="17.68359375" customWidth="1"/>
    <col min="8193" max="8193" width="13.578125" bestFit="1" customWidth="1"/>
    <col min="8195" max="8226" width="3.41796875" bestFit="1" customWidth="1"/>
    <col min="8227" max="8227" width="1.578125" bestFit="1" customWidth="1"/>
    <col min="8228" max="8230" width="3.26171875" bestFit="1" customWidth="1"/>
    <col min="8231" max="8231" width="3.578125" bestFit="1" customWidth="1"/>
    <col min="8232" max="8234" width="3.26171875" bestFit="1" customWidth="1"/>
    <col min="8235" max="8235" width="17.68359375" customWidth="1"/>
    <col min="8449" max="8449" width="13.578125" bestFit="1" customWidth="1"/>
    <col min="8451" max="8482" width="3.41796875" bestFit="1" customWidth="1"/>
    <col min="8483" max="8483" width="1.578125" bestFit="1" customWidth="1"/>
    <col min="8484" max="8486" width="3.26171875" bestFit="1" customWidth="1"/>
    <col min="8487" max="8487" width="3.578125" bestFit="1" customWidth="1"/>
    <col min="8488" max="8490" width="3.26171875" bestFit="1" customWidth="1"/>
    <col min="8491" max="8491" width="17.68359375" customWidth="1"/>
    <col min="8705" max="8705" width="13.578125" bestFit="1" customWidth="1"/>
    <col min="8707" max="8738" width="3.41796875" bestFit="1" customWidth="1"/>
    <col min="8739" max="8739" width="1.578125" bestFit="1" customWidth="1"/>
    <col min="8740" max="8742" width="3.26171875" bestFit="1" customWidth="1"/>
    <col min="8743" max="8743" width="3.578125" bestFit="1" customWidth="1"/>
    <col min="8744" max="8746" width="3.26171875" bestFit="1" customWidth="1"/>
    <col min="8747" max="8747" width="17.68359375" customWidth="1"/>
    <col min="8961" max="8961" width="13.578125" bestFit="1" customWidth="1"/>
    <col min="8963" max="8994" width="3.41796875" bestFit="1" customWidth="1"/>
    <col min="8995" max="8995" width="1.578125" bestFit="1" customWidth="1"/>
    <col min="8996" max="8998" width="3.26171875" bestFit="1" customWidth="1"/>
    <col min="8999" max="8999" width="3.578125" bestFit="1" customWidth="1"/>
    <col min="9000" max="9002" width="3.26171875" bestFit="1" customWidth="1"/>
    <col min="9003" max="9003" width="17.68359375" customWidth="1"/>
    <col min="9217" max="9217" width="13.578125" bestFit="1" customWidth="1"/>
    <col min="9219" max="9250" width="3.41796875" bestFit="1" customWidth="1"/>
    <col min="9251" max="9251" width="1.578125" bestFit="1" customWidth="1"/>
    <col min="9252" max="9254" width="3.26171875" bestFit="1" customWidth="1"/>
    <col min="9255" max="9255" width="3.578125" bestFit="1" customWidth="1"/>
    <col min="9256" max="9258" width="3.26171875" bestFit="1" customWidth="1"/>
    <col min="9259" max="9259" width="17.68359375" customWidth="1"/>
    <col min="9473" max="9473" width="13.578125" bestFit="1" customWidth="1"/>
    <col min="9475" max="9506" width="3.41796875" bestFit="1" customWidth="1"/>
    <col min="9507" max="9507" width="1.578125" bestFit="1" customWidth="1"/>
    <col min="9508" max="9510" width="3.26171875" bestFit="1" customWidth="1"/>
    <col min="9511" max="9511" width="3.578125" bestFit="1" customWidth="1"/>
    <col min="9512" max="9514" width="3.26171875" bestFit="1" customWidth="1"/>
    <col min="9515" max="9515" width="17.68359375" customWidth="1"/>
    <col min="9729" max="9729" width="13.578125" bestFit="1" customWidth="1"/>
    <col min="9731" max="9762" width="3.41796875" bestFit="1" customWidth="1"/>
    <col min="9763" max="9763" width="1.578125" bestFit="1" customWidth="1"/>
    <col min="9764" max="9766" width="3.26171875" bestFit="1" customWidth="1"/>
    <col min="9767" max="9767" width="3.578125" bestFit="1" customWidth="1"/>
    <col min="9768" max="9770" width="3.26171875" bestFit="1" customWidth="1"/>
    <col min="9771" max="9771" width="17.68359375" customWidth="1"/>
    <col min="9985" max="9985" width="13.578125" bestFit="1" customWidth="1"/>
    <col min="9987" max="10018" width="3.41796875" bestFit="1" customWidth="1"/>
    <col min="10019" max="10019" width="1.578125" bestFit="1" customWidth="1"/>
    <col min="10020" max="10022" width="3.26171875" bestFit="1" customWidth="1"/>
    <col min="10023" max="10023" width="3.578125" bestFit="1" customWidth="1"/>
    <col min="10024" max="10026" width="3.26171875" bestFit="1" customWidth="1"/>
    <col min="10027" max="10027" width="17.68359375" customWidth="1"/>
    <col min="10241" max="10241" width="13.578125" bestFit="1" customWidth="1"/>
    <col min="10243" max="10274" width="3.41796875" bestFit="1" customWidth="1"/>
    <col min="10275" max="10275" width="1.578125" bestFit="1" customWidth="1"/>
    <col min="10276" max="10278" width="3.26171875" bestFit="1" customWidth="1"/>
    <col min="10279" max="10279" width="3.578125" bestFit="1" customWidth="1"/>
    <col min="10280" max="10282" width="3.26171875" bestFit="1" customWidth="1"/>
    <col min="10283" max="10283" width="17.68359375" customWidth="1"/>
    <col min="10497" max="10497" width="13.578125" bestFit="1" customWidth="1"/>
    <col min="10499" max="10530" width="3.41796875" bestFit="1" customWidth="1"/>
    <col min="10531" max="10531" width="1.578125" bestFit="1" customWidth="1"/>
    <col min="10532" max="10534" width="3.26171875" bestFit="1" customWidth="1"/>
    <col min="10535" max="10535" width="3.578125" bestFit="1" customWidth="1"/>
    <col min="10536" max="10538" width="3.26171875" bestFit="1" customWidth="1"/>
    <col min="10539" max="10539" width="17.68359375" customWidth="1"/>
    <col min="10753" max="10753" width="13.578125" bestFit="1" customWidth="1"/>
    <col min="10755" max="10786" width="3.41796875" bestFit="1" customWidth="1"/>
    <col min="10787" max="10787" width="1.578125" bestFit="1" customWidth="1"/>
    <col min="10788" max="10790" width="3.26171875" bestFit="1" customWidth="1"/>
    <col min="10791" max="10791" width="3.578125" bestFit="1" customWidth="1"/>
    <col min="10792" max="10794" width="3.26171875" bestFit="1" customWidth="1"/>
    <col min="10795" max="10795" width="17.68359375" customWidth="1"/>
    <col min="11009" max="11009" width="13.578125" bestFit="1" customWidth="1"/>
    <col min="11011" max="11042" width="3.41796875" bestFit="1" customWidth="1"/>
    <col min="11043" max="11043" width="1.578125" bestFit="1" customWidth="1"/>
    <col min="11044" max="11046" width="3.26171875" bestFit="1" customWidth="1"/>
    <col min="11047" max="11047" width="3.578125" bestFit="1" customWidth="1"/>
    <col min="11048" max="11050" width="3.26171875" bestFit="1" customWidth="1"/>
    <col min="11051" max="11051" width="17.68359375" customWidth="1"/>
    <col min="11265" max="11265" width="13.578125" bestFit="1" customWidth="1"/>
    <col min="11267" max="11298" width="3.41796875" bestFit="1" customWidth="1"/>
    <col min="11299" max="11299" width="1.578125" bestFit="1" customWidth="1"/>
    <col min="11300" max="11302" width="3.26171875" bestFit="1" customWidth="1"/>
    <col min="11303" max="11303" width="3.578125" bestFit="1" customWidth="1"/>
    <col min="11304" max="11306" width="3.26171875" bestFit="1" customWidth="1"/>
    <col min="11307" max="11307" width="17.68359375" customWidth="1"/>
    <col min="11521" max="11521" width="13.578125" bestFit="1" customWidth="1"/>
    <col min="11523" max="11554" width="3.41796875" bestFit="1" customWidth="1"/>
    <col min="11555" max="11555" width="1.578125" bestFit="1" customWidth="1"/>
    <col min="11556" max="11558" width="3.26171875" bestFit="1" customWidth="1"/>
    <col min="11559" max="11559" width="3.578125" bestFit="1" customWidth="1"/>
    <col min="11560" max="11562" width="3.26171875" bestFit="1" customWidth="1"/>
    <col min="11563" max="11563" width="17.68359375" customWidth="1"/>
    <col min="11777" max="11777" width="13.578125" bestFit="1" customWidth="1"/>
    <col min="11779" max="11810" width="3.41796875" bestFit="1" customWidth="1"/>
    <col min="11811" max="11811" width="1.578125" bestFit="1" customWidth="1"/>
    <col min="11812" max="11814" width="3.26171875" bestFit="1" customWidth="1"/>
    <col min="11815" max="11815" width="3.578125" bestFit="1" customWidth="1"/>
    <col min="11816" max="11818" width="3.26171875" bestFit="1" customWidth="1"/>
    <col min="11819" max="11819" width="17.68359375" customWidth="1"/>
    <col min="12033" max="12033" width="13.578125" bestFit="1" customWidth="1"/>
    <col min="12035" max="12066" width="3.41796875" bestFit="1" customWidth="1"/>
    <col min="12067" max="12067" width="1.578125" bestFit="1" customWidth="1"/>
    <col min="12068" max="12070" width="3.26171875" bestFit="1" customWidth="1"/>
    <col min="12071" max="12071" width="3.578125" bestFit="1" customWidth="1"/>
    <col min="12072" max="12074" width="3.26171875" bestFit="1" customWidth="1"/>
    <col min="12075" max="12075" width="17.68359375" customWidth="1"/>
    <col min="12289" max="12289" width="13.578125" bestFit="1" customWidth="1"/>
    <col min="12291" max="12322" width="3.41796875" bestFit="1" customWidth="1"/>
    <col min="12323" max="12323" width="1.578125" bestFit="1" customWidth="1"/>
    <col min="12324" max="12326" width="3.26171875" bestFit="1" customWidth="1"/>
    <col min="12327" max="12327" width="3.578125" bestFit="1" customWidth="1"/>
    <col min="12328" max="12330" width="3.26171875" bestFit="1" customWidth="1"/>
    <col min="12331" max="12331" width="17.68359375" customWidth="1"/>
    <col min="12545" max="12545" width="13.578125" bestFit="1" customWidth="1"/>
    <col min="12547" max="12578" width="3.41796875" bestFit="1" customWidth="1"/>
    <col min="12579" max="12579" width="1.578125" bestFit="1" customWidth="1"/>
    <col min="12580" max="12582" width="3.26171875" bestFit="1" customWidth="1"/>
    <col min="12583" max="12583" width="3.578125" bestFit="1" customWidth="1"/>
    <col min="12584" max="12586" width="3.26171875" bestFit="1" customWidth="1"/>
    <col min="12587" max="12587" width="17.68359375" customWidth="1"/>
    <col min="12801" max="12801" width="13.578125" bestFit="1" customWidth="1"/>
    <col min="12803" max="12834" width="3.41796875" bestFit="1" customWidth="1"/>
    <col min="12835" max="12835" width="1.578125" bestFit="1" customWidth="1"/>
    <col min="12836" max="12838" width="3.26171875" bestFit="1" customWidth="1"/>
    <col min="12839" max="12839" width="3.578125" bestFit="1" customWidth="1"/>
    <col min="12840" max="12842" width="3.26171875" bestFit="1" customWidth="1"/>
    <col min="12843" max="12843" width="17.68359375" customWidth="1"/>
    <col min="13057" max="13057" width="13.578125" bestFit="1" customWidth="1"/>
    <col min="13059" max="13090" width="3.41796875" bestFit="1" customWidth="1"/>
    <col min="13091" max="13091" width="1.578125" bestFit="1" customWidth="1"/>
    <col min="13092" max="13094" width="3.26171875" bestFit="1" customWidth="1"/>
    <col min="13095" max="13095" width="3.578125" bestFit="1" customWidth="1"/>
    <col min="13096" max="13098" width="3.26171875" bestFit="1" customWidth="1"/>
    <col min="13099" max="13099" width="17.68359375" customWidth="1"/>
    <col min="13313" max="13313" width="13.578125" bestFit="1" customWidth="1"/>
    <col min="13315" max="13346" width="3.41796875" bestFit="1" customWidth="1"/>
    <col min="13347" max="13347" width="1.578125" bestFit="1" customWidth="1"/>
    <col min="13348" max="13350" width="3.26171875" bestFit="1" customWidth="1"/>
    <col min="13351" max="13351" width="3.578125" bestFit="1" customWidth="1"/>
    <col min="13352" max="13354" width="3.26171875" bestFit="1" customWidth="1"/>
    <col min="13355" max="13355" width="17.68359375" customWidth="1"/>
    <col min="13569" max="13569" width="13.578125" bestFit="1" customWidth="1"/>
    <col min="13571" max="13602" width="3.41796875" bestFit="1" customWidth="1"/>
    <col min="13603" max="13603" width="1.578125" bestFit="1" customWidth="1"/>
    <col min="13604" max="13606" width="3.26171875" bestFit="1" customWidth="1"/>
    <col min="13607" max="13607" width="3.578125" bestFit="1" customWidth="1"/>
    <col min="13608" max="13610" width="3.26171875" bestFit="1" customWidth="1"/>
    <col min="13611" max="13611" width="17.68359375" customWidth="1"/>
    <col min="13825" max="13825" width="13.578125" bestFit="1" customWidth="1"/>
    <col min="13827" max="13858" width="3.41796875" bestFit="1" customWidth="1"/>
    <col min="13859" max="13859" width="1.578125" bestFit="1" customWidth="1"/>
    <col min="13860" max="13862" width="3.26171875" bestFit="1" customWidth="1"/>
    <col min="13863" max="13863" width="3.578125" bestFit="1" customWidth="1"/>
    <col min="13864" max="13866" width="3.26171875" bestFit="1" customWidth="1"/>
    <col min="13867" max="13867" width="17.68359375" customWidth="1"/>
    <col min="14081" max="14081" width="13.578125" bestFit="1" customWidth="1"/>
    <col min="14083" max="14114" width="3.41796875" bestFit="1" customWidth="1"/>
    <col min="14115" max="14115" width="1.578125" bestFit="1" customWidth="1"/>
    <col min="14116" max="14118" width="3.26171875" bestFit="1" customWidth="1"/>
    <col min="14119" max="14119" width="3.578125" bestFit="1" customWidth="1"/>
    <col min="14120" max="14122" width="3.26171875" bestFit="1" customWidth="1"/>
    <col min="14123" max="14123" width="17.68359375" customWidth="1"/>
    <col min="14337" max="14337" width="13.578125" bestFit="1" customWidth="1"/>
    <col min="14339" max="14370" width="3.41796875" bestFit="1" customWidth="1"/>
    <col min="14371" max="14371" width="1.578125" bestFit="1" customWidth="1"/>
    <col min="14372" max="14374" width="3.26171875" bestFit="1" customWidth="1"/>
    <col min="14375" max="14375" width="3.578125" bestFit="1" customWidth="1"/>
    <col min="14376" max="14378" width="3.26171875" bestFit="1" customWidth="1"/>
    <col min="14379" max="14379" width="17.68359375" customWidth="1"/>
    <col min="14593" max="14593" width="13.578125" bestFit="1" customWidth="1"/>
    <col min="14595" max="14626" width="3.41796875" bestFit="1" customWidth="1"/>
    <col min="14627" max="14627" width="1.578125" bestFit="1" customWidth="1"/>
    <col min="14628" max="14630" width="3.26171875" bestFit="1" customWidth="1"/>
    <col min="14631" max="14631" width="3.578125" bestFit="1" customWidth="1"/>
    <col min="14632" max="14634" width="3.26171875" bestFit="1" customWidth="1"/>
    <col min="14635" max="14635" width="17.68359375" customWidth="1"/>
    <col min="14849" max="14849" width="13.578125" bestFit="1" customWidth="1"/>
    <col min="14851" max="14882" width="3.41796875" bestFit="1" customWidth="1"/>
    <col min="14883" max="14883" width="1.578125" bestFit="1" customWidth="1"/>
    <col min="14884" max="14886" width="3.26171875" bestFit="1" customWidth="1"/>
    <col min="14887" max="14887" width="3.578125" bestFit="1" customWidth="1"/>
    <col min="14888" max="14890" width="3.26171875" bestFit="1" customWidth="1"/>
    <col min="14891" max="14891" width="17.68359375" customWidth="1"/>
    <col min="15105" max="15105" width="13.578125" bestFit="1" customWidth="1"/>
    <col min="15107" max="15138" width="3.41796875" bestFit="1" customWidth="1"/>
    <col min="15139" max="15139" width="1.578125" bestFit="1" customWidth="1"/>
    <col min="15140" max="15142" width="3.26171875" bestFit="1" customWidth="1"/>
    <col min="15143" max="15143" width="3.578125" bestFit="1" customWidth="1"/>
    <col min="15144" max="15146" width="3.26171875" bestFit="1" customWidth="1"/>
    <col min="15147" max="15147" width="17.68359375" customWidth="1"/>
    <col min="15361" max="15361" width="13.578125" bestFit="1" customWidth="1"/>
    <col min="15363" max="15394" width="3.41796875" bestFit="1" customWidth="1"/>
    <col min="15395" max="15395" width="1.578125" bestFit="1" customWidth="1"/>
    <col min="15396" max="15398" width="3.26171875" bestFit="1" customWidth="1"/>
    <col min="15399" max="15399" width="3.578125" bestFit="1" customWidth="1"/>
    <col min="15400" max="15402" width="3.26171875" bestFit="1" customWidth="1"/>
    <col min="15403" max="15403" width="17.68359375" customWidth="1"/>
    <col min="15617" max="15617" width="13.578125" bestFit="1" customWidth="1"/>
    <col min="15619" max="15650" width="3.41796875" bestFit="1" customWidth="1"/>
    <col min="15651" max="15651" width="1.578125" bestFit="1" customWidth="1"/>
    <col min="15652" max="15654" width="3.26171875" bestFit="1" customWidth="1"/>
    <col min="15655" max="15655" width="3.578125" bestFit="1" customWidth="1"/>
    <col min="15656" max="15658" width="3.26171875" bestFit="1" customWidth="1"/>
    <col min="15659" max="15659" width="17.68359375" customWidth="1"/>
    <col min="15873" max="15873" width="13.578125" bestFit="1" customWidth="1"/>
    <col min="15875" max="15906" width="3.41796875" bestFit="1" customWidth="1"/>
    <col min="15907" max="15907" width="1.578125" bestFit="1" customWidth="1"/>
    <col min="15908" max="15910" width="3.26171875" bestFit="1" customWidth="1"/>
    <col min="15911" max="15911" width="3.578125" bestFit="1" customWidth="1"/>
    <col min="15912" max="15914" width="3.26171875" bestFit="1" customWidth="1"/>
    <col min="15915" max="15915" width="17.68359375" customWidth="1"/>
    <col min="16129" max="16129" width="13.578125" bestFit="1" customWidth="1"/>
    <col min="16131" max="16162" width="3.41796875" bestFit="1" customWidth="1"/>
    <col min="16163" max="16163" width="1.578125" bestFit="1" customWidth="1"/>
    <col min="16164" max="16166" width="3.26171875" bestFit="1" customWidth="1"/>
    <col min="16167" max="16167" width="3.578125" bestFit="1" customWidth="1"/>
    <col min="16168" max="16170" width="3.26171875" bestFit="1" customWidth="1"/>
    <col min="16171" max="16171" width="17.68359375" customWidth="1"/>
  </cols>
  <sheetData>
    <row r="1" spans="1:59" x14ac:dyDescent="0.55000000000000004">
      <c r="A1" t="s">
        <v>392</v>
      </c>
      <c r="F1" s="546" t="s">
        <v>393</v>
      </c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7"/>
      <c r="AD1" s="547"/>
      <c r="AE1" s="547"/>
      <c r="AF1" s="547"/>
      <c r="AH1" s="548" t="s">
        <v>394</v>
      </c>
    </row>
    <row r="2" spans="1:59" x14ac:dyDescent="0.55000000000000004">
      <c r="A2" t="s">
        <v>395</v>
      </c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7"/>
      <c r="AD2" s="547"/>
      <c r="AE2" s="547"/>
      <c r="AF2" s="547"/>
      <c r="AH2" s="549"/>
    </row>
    <row r="3" spans="1:59" ht="16.5" customHeight="1" x14ac:dyDescent="0.55000000000000004"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7"/>
      <c r="AD3" s="547"/>
      <c r="AE3" s="547"/>
      <c r="AF3" s="547"/>
      <c r="AH3" s="549"/>
    </row>
    <row r="4" spans="1:59" ht="15.3" x14ac:dyDescent="0.55000000000000004">
      <c r="S4" s="537" t="s">
        <v>396</v>
      </c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50"/>
    </row>
    <row r="5" spans="1:59" x14ac:dyDescent="0.55000000000000004">
      <c r="C5" s="551" t="s">
        <v>397</v>
      </c>
      <c r="D5" s="552"/>
      <c r="E5" s="552"/>
      <c r="F5" s="552"/>
      <c r="G5" s="552"/>
      <c r="H5" s="552"/>
      <c r="I5" s="552"/>
      <c r="J5" s="553"/>
      <c r="S5" s="554" t="s">
        <v>397</v>
      </c>
      <c r="T5" s="535"/>
      <c r="U5" s="535"/>
      <c r="V5" s="535"/>
      <c r="W5" s="535"/>
      <c r="X5" s="535"/>
      <c r="Y5" s="535"/>
      <c r="Z5" s="535"/>
      <c r="AA5" s="44"/>
      <c r="AB5" s="44"/>
      <c r="AC5" s="44"/>
      <c r="AD5" s="44"/>
      <c r="AE5" s="44"/>
      <c r="AF5" s="44"/>
      <c r="AG5" s="44"/>
      <c r="AH5" s="223"/>
    </row>
    <row r="6" spans="1:59" ht="14.7" thickBot="1" x14ac:dyDescent="0.6">
      <c r="C6" s="555" t="s">
        <v>398</v>
      </c>
      <c r="D6" s="555"/>
      <c r="E6" s="555"/>
      <c r="F6" s="555"/>
      <c r="G6" s="556" t="s">
        <v>398</v>
      </c>
      <c r="H6" s="556"/>
      <c r="I6" s="556"/>
      <c r="J6" s="556"/>
      <c r="K6" s="557" t="s">
        <v>397</v>
      </c>
      <c r="L6" s="558"/>
      <c r="M6" s="558"/>
      <c r="N6" s="558"/>
      <c r="O6" s="558"/>
      <c r="P6" s="558"/>
      <c r="Q6" s="558"/>
      <c r="R6" s="558"/>
      <c r="S6" s="559" t="s">
        <v>398</v>
      </c>
      <c r="T6" s="541"/>
      <c r="U6" s="541"/>
      <c r="V6" s="541"/>
      <c r="W6" s="540" t="s">
        <v>398</v>
      </c>
      <c r="X6" s="540"/>
      <c r="Y6" s="540"/>
      <c r="Z6" s="540"/>
      <c r="AA6" s="535" t="s">
        <v>397</v>
      </c>
      <c r="AB6" s="535"/>
      <c r="AC6" s="535"/>
      <c r="AD6" s="535"/>
      <c r="AE6" s="535"/>
      <c r="AF6" s="535"/>
      <c r="AG6" s="535"/>
      <c r="AH6" s="536"/>
    </row>
    <row r="7" spans="1:59" ht="15.6" thickBot="1" x14ac:dyDescent="0.6">
      <c r="A7" t="s">
        <v>399</v>
      </c>
      <c r="B7" s="224">
        <v>2</v>
      </c>
      <c r="C7" s="537" t="s">
        <v>396</v>
      </c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9" t="s">
        <v>398</v>
      </c>
      <c r="T7" s="540"/>
      <c r="U7" s="540"/>
      <c r="V7" s="540"/>
      <c r="W7" s="541" t="s">
        <v>398</v>
      </c>
      <c r="X7" s="541"/>
      <c r="Y7" s="541"/>
      <c r="Z7" s="541"/>
      <c r="AA7" s="44"/>
      <c r="AB7" s="44"/>
      <c r="AC7" s="44"/>
      <c r="AD7" s="44"/>
      <c r="AE7" s="540" t="s">
        <v>398</v>
      </c>
      <c r="AF7" s="540"/>
      <c r="AG7" s="540"/>
      <c r="AH7" s="542"/>
      <c r="AJ7" s="543" t="s">
        <v>400</v>
      </c>
      <c r="AK7" s="544"/>
      <c r="AL7" s="544"/>
      <c r="AM7" s="544"/>
      <c r="AN7" s="544"/>
      <c r="AO7" s="544"/>
      <c r="AP7" s="545"/>
    </row>
    <row r="8" spans="1:59" ht="15.6" thickBot="1" x14ac:dyDescent="0.6">
      <c r="B8" s="224"/>
      <c r="C8" s="225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7"/>
      <c r="T8" s="228"/>
      <c r="U8" s="228"/>
      <c r="V8" s="228"/>
      <c r="W8" s="229"/>
      <c r="X8" s="229"/>
      <c r="Y8" s="229"/>
      <c r="Z8" s="229"/>
      <c r="AA8" s="44"/>
      <c r="AB8" s="44"/>
      <c r="AC8" s="44"/>
      <c r="AD8" s="44"/>
      <c r="AE8" s="228"/>
      <c r="AF8" s="228"/>
      <c r="AG8" s="228"/>
      <c r="AH8" s="230"/>
      <c r="AJ8" s="231"/>
      <c r="AK8" s="232" t="s">
        <v>401</v>
      </c>
      <c r="AL8" s="232"/>
      <c r="AM8" s="232"/>
      <c r="AN8" s="232"/>
      <c r="AO8" s="232"/>
      <c r="AP8" s="233"/>
    </row>
    <row r="9" spans="1:59" ht="14.7" thickBot="1" x14ac:dyDescent="0.6">
      <c r="A9" t="s">
        <v>402</v>
      </c>
      <c r="C9" s="234">
        <v>31</v>
      </c>
      <c r="D9" s="44">
        <f>C9-1</f>
        <v>30</v>
      </c>
      <c r="E9" s="44">
        <f t="shared" ref="E9:AP9" si="0">D9-1</f>
        <v>29</v>
      </c>
      <c r="F9" s="44">
        <f t="shared" si="0"/>
        <v>28</v>
      </c>
      <c r="G9" s="44">
        <f t="shared" si="0"/>
        <v>27</v>
      </c>
      <c r="H9" s="44">
        <f t="shared" si="0"/>
        <v>26</v>
      </c>
      <c r="I9" s="44">
        <f t="shared" si="0"/>
        <v>25</v>
      </c>
      <c r="J9" s="44">
        <f t="shared" si="0"/>
        <v>24</v>
      </c>
      <c r="K9" s="44">
        <f t="shared" si="0"/>
        <v>23</v>
      </c>
      <c r="L9" s="44">
        <f t="shared" si="0"/>
        <v>22</v>
      </c>
      <c r="M9" s="44">
        <f t="shared" si="0"/>
        <v>21</v>
      </c>
      <c r="N9" s="44">
        <f t="shared" si="0"/>
        <v>20</v>
      </c>
      <c r="O9" s="44">
        <f t="shared" si="0"/>
        <v>19</v>
      </c>
      <c r="P9" s="44">
        <f t="shared" si="0"/>
        <v>18</v>
      </c>
      <c r="Q9" s="44">
        <f t="shared" si="0"/>
        <v>17</v>
      </c>
      <c r="R9" s="44">
        <f t="shared" si="0"/>
        <v>16</v>
      </c>
      <c r="S9" s="234">
        <f t="shared" si="0"/>
        <v>15</v>
      </c>
      <c r="T9" s="44">
        <f t="shared" si="0"/>
        <v>14</v>
      </c>
      <c r="U9" s="44">
        <f t="shared" si="0"/>
        <v>13</v>
      </c>
      <c r="V9" s="44">
        <f t="shared" si="0"/>
        <v>12</v>
      </c>
      <c r="W9" s="44">
        <f t="shared" si="0"/>
        <v>11</v>
      </c>
      <c r="X9" s="44">
        <f t="shared" si="0"/>
        <v>10</v>
      </c>
      <c r="Y9" s="44">
        <f t="shared" si="0"/>
        <v>9</v>
      </c>
      <c r="Z9" s="44">
        <f t="shared" si="0"/>
        <v>8</v>
      </c>
      <c r="AA9" s="44">
        <f t="shared" si="0"/>
        <v>7</v>
      </c>
      <c r="AB9" s="44">
        <f t="shared" si="0"/>
        <v>6</v>
      </c>
      <c r="AC9" s="44">
        <f t="shared" si="0"/>
        <v>5</v>
      </c>
      <c r="AD9" s="44">
        <f t="shared" si="0"/>
        <v>4</v>
      </c>
      <c r="AE9" s="44">
        <f t="shared" si="0"/>
        <v>3</v>
      </c>
      <c r="AF9" s="44">
        <f t="shared" si="0"/>
        <v>2</v>
      </c>
      <c r="AG9" s="44">
        <f t="shared" si="0"/>
        <v>1</v>
      </c>
      <c r="AH9" s="235">
        <f t="shared" si="0"/>
        <v>0</v>
      </c>
      <c r="AJ9" s="236">
        <f>AH9-1</f>
        <v>-1</v>
      </c>
      <c r="AK9" s="237">
        <f t="shared" si="0"/>
        <v>-2</v>
      </c>
      <c r="AL9" s="237">
        <f t="shared" si="0"/>
        <v>-3</v>
      </c>
      <c r="AM9" s="237">
        <f t="shared" si="0"/>
        <v>-4</v>
      </c>
      <c r="AN9" s="237">
        <f t="shared" si="0"/>
        <v>-5</v>
      </c>
      <c r="AO9" s="237">
        <f t="shared" si="0"/>
        <v>-6</v>
      </c>
      <c r="AP9" s="238">
        <f t="shared" si="0"/>
        <v>-7</v>
      </c>
    </row>
    <row r="10" spans="1:59" s="249" customFormat="1" ht="62.1" thickBot="1" x14ac:dyDescent="0.6">
      <c r="A10" s="239" t="s">
        <v>403</v>
      </c>
      <c r="B10" s="240" t="s">
        <v>404</v>
      </c>
      <c r="C10" s="241">
        <f t="shared" ref="C10:AH10" si="1">POWER($B$7,C9)</f>
        <v>2147483648</v>
      </c>
      <c r="D10" s="241">
        <f t="shared" si="1"/>
        <v>1073741824</v>
      </c>
      <c r="E10" s="241">
        <f t="shared" si="1"/>
        <v>536870912</v>
      </c>
      <c r="F10" s="241">
        <f t="shared" si="1"/>
        <v>268435456</v>
      </c>
      <c r="G10" s="241">
        <f t="shared" si="1"/>
        <v>134217728</v>
      </c>
      <c r="H10" s="241">
        <f t="shared" si="1"/>
        <v>67108864</v>
      </c>
      <c r="I10" s="241">
        <f t="shared" si="1"/>
        <v>33554432</v>
      </c>
      <c r="J10" s="241">
        <f t="shared" si="1"/>
        <v>16777216</v>
      </c>
      <c r="K10" s="241">
        <f t="shared" si="1"/>
        <v>8388608</v>
      </c>
      <c r="L10" s="241">
        <f t="shared" si="1"/>
        <v>4194304</v>
      </c>
      <c r="M10" s="241">
        <f t="shared" si="1"/>
        <v>2097152</v>
      </c>
      <c r="N10" s="241">
        <f t="shared" si="1"/>
        <v>1048576</v>
      </c>
      <c r="O10" s="241">
        <f t="shared" si="1"/>
        <v>524288</v>
      </c>
      <c r="P10" s="241">
        <f t="shared" si="1"/>
        <v>262144</v>
      </c>
      <c r="Q10" s="241">
        <f t="shared" si="1"/>
        <v>131072</v>
      </c>
      <c r="R10" s="241">
        <f t="shared" si="1"/>
        <v>65536</v>
      </c>
      <c r="S10" s="241">
        <f t="shared" si="1"/>
        <v>32768</v>
      </c>
      <c r="T10" s="241">
        <f t="shared" si="1"/>
        <v>16384</v>
      </c>
      <c r="U10" s="241">
        <f t="shared" si="1"/>
        <v>8192</v>
      </c>
      <c r="V10" s="241">
        <f t="shared" si="1"/>
        <v>4096</v>
      </c>
      <c r="W10" s="241">
        <f t="shared" si="1"/>
        <v>2048</v>
      </c>
      <c r="X10" s="241">
        <f t="shared" si="1"/>
        <v>1024</v>
      </c>
      <c r="Y10" s="241">
        <f t="shared" si="1"/>
        <v>512</v>
      </c>
      <c r="Z10" s="241">
        <f t="shared" si="1"/>
        <v>256</v>
      </c>
      <c r="AA10" s="242">
        <f t="shared" si="1"/>
        <v>128</v>
      </c>
      <c r="AB10" s="242">
        <f t="shared" si="1"/>
        <v>64</v>
      </c>
      <c r="AC10" s="242">
        <f t="shared" si="1"/>
        <v>32</v>
      </c>
      <c r="AD10" s="242">
        <f t="shared" si="1"/>
        <v>16</v>
      </c>
      <c r="AE10" s="242">
        <f t="shared" si="1"/>
        <v>8</v>
      </c>
      <c r="AF10" s="242">
        <f t="shared" si="1"/>
        <v>4</v>
      </c>
      <c r="AG10" s="242">
        <f t="shared" si="1"/>
        <v>2</v>
      </c>
      <c r="AH10" s="242">
        <f t="shared" si="1"/>
        <v>1</v>
      </c>
      <c r="AI10"/>
      <c r="AJ10" s="243">
        <f t="shared" ref="AJ10:AP10" si="2">POWER($B$7,AJ9)</f>
        <v>0.5</v>
      </c>
      <c r="AK10" s="243">
        <f t="shared" si="2"/>
        <v>0.25</v>
      </c>
      <c r="AL10" s="244">
        <f t="shared" si="2"/>
        <v>0.125</v>
      </c>
      <c r="AM10" s="245">
        <f t="shared" si="2"/>
        <v>6.25E-2</v>
      </c>
      <c r="AN10" s="246">
        <f t="shared" si="2"/>
        <v>3.125E-2</v>
      </c>
      <c r="AO10" s="247">
        <f t="shared" si="2"/>
        <v>1.5625E-2</v>
      </c>
      <c r="AP10" s="248">
        <f t="shared" si="2"/>
        <v>7.8125E-3</v>
      </c>
    </row>
    <row r="11" spans="1:59" ht="14.7" thickBot="1" x14ac:dyDescent="0.6">
      <c r="A11" t="s">
        <v>405</v>
      </c>
      <c r="C11" s="250"/>
      <c r="D11" s="251"/>
      <c r="E11" s="251"/>
      <c r="F11" s="251"/>
      <c r="G11" s="251"/>
      <c r="H11" s="251"/>
      <c r="I11" s="251"/>
      <c r="J11" s="252"/>
      <c r="K11" s="250"/>
      <c r="L11" s="251"/>
      <c r="M11" s="251"/>
      <c r="N11" s="251"/>
      <c r="O11" s="251"/>
      <c r="P11" s="251">
        <v>1</v>
      </c>
      <c r="Q11" s="251"/>
      <c r="R11" s="252"/>
      <c r="S11" s="250">
        <v>1</v>
      </c>
      <c r="T11" s="251">
        <v>1</v>
      </c>
      <c r="U11" s="251">
        <v>1</v>
      </c>
      <c r="V11" s="251">
        <v>1</v>
      </c>
      <c r="W11" s="251">
        <v>1</v>
      </c>
      <c r="X11" s="251">
        <v>1</v>
      </c>
      <c r="Y11" s="251">
        <v>1</v>
      </c>
      <c r="Z11" s="252">
        <v>1</v>
      </c>
      <c r="AA11" s="250">
        <v>1</v>
      </c>
      <c r="AB11" s="251">
        <v>1</v>
      </c>
      <c r="AC11" s="251">
        <v>1</v>
      </c>
      <c r="AD11" s="251">
        <v>1</v>
      </c>
      <c r="AE11" s="251">
        <v>1</v>
      </c>
      <c r="AF11" s="251">
        <v>1</v>
      </c>
      <c r="AG11" s="251">
        <v>1</v>
      </c>
      <c r="AH11" s="251">
        <v>0</v>
      </c>
      <c r="AI11" s="253" t="s">
        <v>406</v>
      </c>
      <c r="AJ11" s="254">
        <v>0</v>
      </c>
      <c r="AK11" s="255">
        <v>0</v>
      </c>
      <c r="AL11" s="255">
        <v>0</v>
      </c>
      <c r="AM11" s="255">
        <v>0</v>
      </c>
      <c r="AN11" s="255">
        <v>0</v>
      </c>
      <c r="AO11" s="255">
        <v>0</v>
      </c>
      <c r="AP11" s="256">
        <v>0</v>
      </c>
      <c r="AQ11" s="257" t="s">
        <v>331</v>
      </c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</row>
    <row r="12" spans="1:59" ht="51" hidden="1" customHeight="1" x14ac:dyDescent="0.55000000000000004">
      <c r="A12" t="s">
        <v>407</v>
      </c>
      <c r="C12" s="259">
        <f>C11*C10</f>
        <v>0</v>
      </c>
      <c r="D12" s="259">
        <f t="shared" ref="D12:AP12" si="3">D11*D10</f>
        <v>0</v>
      </c>
      <c r="E12" s="259">
        <f t="shared" si="3"/>
        <v>0</v>
      </c>
      <c r="F12" s="259">
        <f t="shared" si="3"/>
        <v>0</v>
      </c>
      <c r="G12" s="259">
        <f t="shared" si="3"/>
        <v>0</v>
      </c>
      <c r="H12" s="259">
        <f t="shared" si="3"/>
        <v>0</v>
      </c>
      <c r="I12" s="259">
        <f t="shared" si="3"/>
        <v>0</v>
      </c>
      <c r="J12" s="259">
        <f t="shared" si="3"/>
        <v>0</v>
      </c>
      <c r="K12" s="259">
        <f t="shared" si="3"/>
        <v>0</v>
      </c>
      <c r="L12" s="259">
        <f t="shared" si="3"/>
        <v>0</v>
      </c>
      <c r="M12" s="259">
        <f t="shared" si="3"/>
        <v>0</v>
      </c>
      <c r="N12" s="259">
        <f t="shared" si="3"/>
        <v>0</v>
      </c>
      <c r="O12" s="259">
        <f t="shared" si="3"/>
        <v>0</v>
      </c>
      <c r="P12" s="259">
        <f t="shared" si="3"/>
        <v>262144</v>
      </c>
      <c r="Q12" s="259">
        <f t="shared" si="3"/>
        <v>0</v>
      </c>
      <c r="R12" s="259">
        <f t="shared" si="3"/>
        <v>0</v>
      </c>
      <c r="S12" s="259">
        <f t="shared" si="3"/>
        <v>32768</v>
      </c>
      <c r="T12" s="259">
        <f t="shared" si="3"/>
        <v>16384</v>
      </c>
      <c r="U12" s="259">
        <f t="shared" si="3"/>
        <v>8192</v>
      </c>
      <c r="V12" s="259">
        <f t="shared" si="3"/>
        <v>4096</v>
      </c>
      <c r="W12" s="259">
        <f t="shared" si="3"/>
        <v>2048</v>
      </c>
      <c r="X12" s="259">
        <f t="shared" si="3"/>
        <v>1024</v>
      </c>
      <c r="Y12" s="259">
        <f t="shared" si="3"/>
        <v>512</v>
      </c>
      <c r="Z12" s="259">
        <f t="shared" si="3"/>
        <v>256</v>
      </c>
      <c r="AA12" s="259">
        <f t="shared" si="3"/>
        <v>128</v>
      </c>
      <c r="AB12" s="259">
        <f t="shared" si="3"/>
        <v>64</v>
      </c>
      <c r="AC12" s="259">
        <f t="shared" si="3"/>
        <v>32</v>
      </c>
      <c r="AD12" s="259">
        <f t="shared" si="3"/>
        <v>16</v>
      </c>
      <c r="AE12" s="259">
        <f t="shared" si="3"/>
        <v>8</v>
      </c>
      <c r="AF12" s="259">
        <f t="shared" si="3"/>
        <v>4</v>
      </c>
      <c r="AG12" s="259">
        <f t="shared" si="3"/>
        <v>2</v>
      </c>
      <c r="AH12" s="259">
        <f t="shared" si="3"/>
        <v>0</v>
      </c>
      <c r="AI12" s="259"/>
      <c r="AJ12" s="260">
        <f t="shared" si="3"/>
        <v>0</v>
      </c>
      <c r="AK12" s="261">
        <f t="shared" si="3"/>
        <v>0</v>
      </c>
      <c r="AL12" s="262">
        <f t="shared" si="3"/>
        <v>0</v>
      </c>
      <c r="AM12" s="263">
        <f t="shared" si="3"/>
        <v>0</v>
      </c>
      <c r="AN12" s="263">
        <f t="shared" si="3"/>
        <v>0</v>
      </c>
      <c r="AO12" s="263">
        <f t="shared" si="3"/>
        <v>0</v>
      </c>
      <c r="AP12" s="263">
        <f t="shared" si="3"/>
        <v>0</v>
      </c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</row>
    <row r="13" spans="1:59" ht="29.1" thickBot="1" x14ac:dyDescent="0.6">
      <c r="A13" s="75" t="s">
        <v>408</v>
      </c>
      <c r="B13" s="224">
        <v>10</v>
      </c>
      <c r="C13" s="264">
        <v>15</v>
      </c>
      <c r="D13" s="264">
        <v>14</v>
      </c>
      <c r="E13" s="264">
        <v>13</v>
      </c>
      <c r="F13" s="264">
        <v>12</v>
      </c>
      <c r="G13" s="264">
        <v>11</v>
      </c>
      <c r="H13" s="264">
        <v>10</v>
      </c>
      <c r="I13" s="264">
        <v>9</v>
      </c>
      <c r="J13" s="264">
        <v>8</v>
      </c>
      <c r="K13" s="264">
        <v>7</v>
      </c>
      <c r="L13" s="264">
        <v>6</v>
      </c>
      <c r="M13" s="264">
        <v>5</v>
      </c>
      <c r="N13" s="264">
        <v>4</v>
      </c>
      <c r="O13" s="264">
        <v>3</v>
      </c>
      <c r="P13" s="264">
        <v>2</v>
      </c>
      <c r="Q13" s="264">
        <v>1</v>
      </c>
      <c r="R13" s="264">
        <v>0</v>
      </c>
      <c r="S13" s="265"/>
      <c r="T13" s="265"/>
      <c r="U13" s="265"/>
      <c r="V13" s="265"/>
      <c r="W13" s="265"/>
      <c r="X13" s="265"/>
      <c r="Y13" s="266"/>
      <c r="Z13" s="266"/>
      <c r="AA13" s="266"/>
      <c r="AB13" s="267" t="s">
        <v>409</v>
      </c>
      <c r="AC13" s="529">
        <f>SUM(C12:AP12)</f>
        <v>327678</v>
      </c>
      <c r="AD13" s="529"/>
      <c r="AE13" s="529"/>
      <c r="AF13" s="529"/>
      <c r="AG13" s="529"/>
      <c r="AH13" s="530"/>
      <c r="AI13" s="268"/>
      <c r="AJ13" s="269" t="s">
        <v>410</v>
      </c>
      <c r="AK13" s="270"/>
      <c r="AL13" s="270"/>
      <c r="AM13" s="271">
        <f>B13</f>
        <v>10</v>
      </c>
    </row>
    <row r="14" spans="1:59" s="273" customFormat="1" ht="15" thickTop="1" thickBot="1" x14ac:dyDescent="0.6">
      <c r="A14" s="272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</row>
    <row r="15" spans="1:59" ht="15" thickTop="1" thickBot="1" x14ac:dyDescent="0.6">
      <c r="A15" t="s">
        <v>399</v>
      </c>
      <c r="B15" s="224">
        <v>16</v>
      </c>
      <c r="C15" s="275" t="s">
        <v>411</v>
      </c>
      <c r="D15" s="276" t="s">
        <v>412</v>
      </c>
      <c r="E15" s="276" t="s">
        <v>413</v>
      </c>
      <c r="F15" s="276" t="s">
        <v>368</v>
      </c>
      <c r="G15" s="276" t="s">
        <v>367</v>
      </c>
      <c r="H15" s="276" t="s">
        <v>366</v>
      </c>
      <c r="I15" s="276">
        <v>9</v>
      </c>
      <c r="J15" s="277">
        <v>8</v>
      </c>
      <c r="K15" s="275">
        <v>7</v>
      </c>
      <c r="L15" s="276">
        <v>6</v>
      </c>
      <c r="M15" s="276">
        <v>5</v>
      </c>
      <c r="N15" s="276">
        <v>4</v>
      </c>
      <c r="O15" s="276">
        <v>3</v>
      </c>
      <c r="P15" s="276">
        <v>2</v>
      </c>
      <c r="Q15" s="276">
        <v>1</v>
      </c>
      <c r="R15" s="277">
        <v>0</v>
      </c>
    </row>
    <row r="16" spans="1:59" ht="14.7" thickBot="1" x14ac:dyDescent="0.6">
      <c r="A16" t="s">
        <v>414</v>
      </c>
      <c r="C16" s="234">
        <v>31</v>
      </c>
      <c r="D16" s="44">
        <f>C16-1</f>
        <v>30</v>
      </c>
      <c r="E16" s="44">
        <f t="shared" ref="E16:AH16" si="4">D16-1</f>
        <v>29</v>
      </c>
      <c r="F16" s="44">
        <f t="shared" si="4"/>
        <v>28</v>
      </c>
      <c r="G16" s="44">
        <f t="shared" si="4"/>
        <v>27</v>
      </c>
      <c r="H16" s="44">
        <f t="shared" si="4"/>
        <v>26</v>
      </c>
      <c r="I16" s="44">
        <f t="shared" si="4"/>
        <v>25</v>
      </c>
      <c r="J16" s="44">
        <f t="shared" si="4"/>
        <v>24</v>
      </c>
      <c r="K16" s="44">
        <f t="shared" si="4"/>
        <v>23</v>
      </c>
      <c r="L16" s="44">
        <f t="shared" si="4"/>
        <v>22</v>
      </c>
      <c r="M16" s="44">
        <f t="shared" si="4"/>
        <v>21</v>
      </c>
      <c r="N16" s="44">
        <f t="shared" si="4"/>
        <v>20</v>
      </c>
      <c r="O16" s="44">
        <f t="shared" si="4"/>
        <v>19</v>
      </c>
      <c r="P16" s="44">
        <f t="shared" si="4"/>
        <v>18</v>
      </c>
      <c r="Q16" s="44">
        <f t="shared" si="4"/>
        <v>17</v>
      </c>
      <c r="R16" s="44">
        <f t="shared" si="4"/>
        <v>16</v>
      </c>
      <c r="S16" s="234">
        <f t="shared" si="4"/>
        <v>15</v>
      </c>
      <c r="T16" s="44">
        <f t="shared" si="4"/>
        <v>14</v>
      </c>
      <c r="U16" s="44">
        <f t="shared" si="4"/>
        <v>13</v>
      </c>
      <c r="V16" s="44">
        <f t="shared" si="4"/>
        <v>12</v>
      </c>
      <c r="W16" s="44">
        <f t="shared" si="4"/>
        <v>11</v>
      </c>
      <c r="X16" s="44">
        <f t="shared" si="4"/>
        <v>10</v>
      </c>
      <c r="Y16" s="44">
        <f t="shared" si="4"/>
        <v>9</v>
      </c>
      <c r="Z16" s="44">
        <f t="shared" si="4"/>
        <v>8</v>
      </c>
      <c r="AA16" s="44">
        <f t="shared" si="4"/>
        <v>7</v>
      </c>
      <c r="AB16" s="44">
        <f t="shared" si="4"/>
        <v>6</v>
      </c>
      <c r="AC16" s="44">
        <f t="shared" si="4"/>
        <v>5</v>
      </c>
      <c r="AD16" s="44">
        <f t="shared" si="4"/>
        <v>4</v>
      </c>
      <c r="AE16" s="44">
        <f t="shared" si="4"/>
        <v>3</v>
      </c>
      <c r="AF16" s="44">
        <f t="shared" si="4"/>
        <v>2</v>
      </c>
      <c r="AG16" s="44">
        <f t="shared" si="4"/>
        <v>1</v>
      </c>
      <c r="AH16" s="235">
        <f t="shared" si="4"/>
        <v>0</v>
      </c>
      <c r="AJ16" s="236">
        <f>AH16-1</f>
        <v>-1</v>
      </c>
      <c r="AK16" s="237">
        <f t="shared" ref="AK16:AP16" si="5">AJ16-1</f>
        <v>-2</v>
      </c>
      <c r="AL16" s="237">
        <f t="shared" si="5"/>
        <v>-3</v>
      </c>
      <c r="AM16" s="237">
        <f t="shared" si="5"/>
        <v>-4</v>
      </c>
      <c r="AN16" s="237">
        <f t="shared" si="5"/>
        <v>-5</v>
      </c>
      <c r="AO16" s="237">
        <f t="shared" si="5"/>
        <v>-6</v>
      </c>
      <c r="AP16" s="238">
        <f t="shared" si="5"/>
        <v>-7</v>
      </c>
    </row>
    <row r="17" spans="1:43" ht="108.3" thickBot="1" x14ac:dyDescent="0.6">
      <c r="A17" s="239" t="s">
        <v>415</v>
      </c>
      <c r="B17" s="278" t="s">
        <v>404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>
        <f t="shared" ref="S17:AP17" si="6">POWER($B$15,S16)</f>
        <v>1.152921504606847E+18</v>
      </c>
      <c r="T17" s="241">
        <f t="shared" si="6"/>
        <v>7.2057594037927936E+16</v>
      </c>
      <c r="U17" s="241">
        <f t="shared" si="6"/>
        <v>4503599627370496</v>
      </c>
      <c r="V17" s="241">
        <f t="shared" si="6"/>
        <v>281474976710656</v>
      </c>
      <c r="W17" s="241">
        <f t="shared" si="6"/>
        <v>17592186044416</v>
      </c>
      <c r="X17" s="241">
        <f t="shared" si="6"/>
        <v>1099511627776</v>
      </c>
      <c r="Y17" s="241">
        <f t="shared" si="6"/>
        <v>68719476736</v>
      </c>
      <c r="Z17" s="241">
        <f t="shared" si="6"/>
        <v>4294967296</v>
      </c>
      <c r="AA17" s="241">
        <f t="shared" si="6"/>
        <v>268435456</v>
      </c>
      <c r="AB17" s="241">
        <f t="shared" si="6"/>
        <v>16777216</v>
      </c>
      <c r="AC17" s="241">
        <f t="shared" si="6"/>
        <v>1048576</v>
      </c>
      <c r="AD17" s="241">
        <f t="shared" si="6"/>
        <v>65536</v>
      </c>
      <c r="AE17" s="241">
        <f t="shared" si="6"/>
        <v>4096</v>
      </c>
      <c r="AF17" s="241">
        <f t="shared" si="6"/>
        <v>256</v>
      </c>
      <c r="AG17" s="241">
        <f t="shared" si="6"/>
        <v>16</v>
      </c>
      <c r="AH17" s="241">
        <f t="shared" si="6"/>
        <v>1</v>
      </c>
      <c r="AI17" s="241"/>
      <c r="AJ17" s="279">
        <f t="shared" si="6"/>
        <v>6.25E-2</v>
      </c>
      <c r="AK17" s="280">
        <f t="shared" si="6"/>
        <v>3.90625E-3</v>
      </c>
      <c r="AL17" s="281">
        <f t="shared" si="6"/>
        <v>2.44140625E-4</v>
      </c>
      <c r="AM17" s="281">
        <f t="shared" si="6"/>
        <v>1.52587890625E-5</v>
      </c>
      <c r="AN17" s="281">
        <f t="shared" si="6"/>
        <v>9.5367431640625E-7</v>
      </c>
      <c r="AO17" s="281">
        <f t="shared" si="6"/>
        <v>5.9604644775390625E-8</v>
      </c>
      <c r="AP17" s="281">
        <f t="shared" si="6"/>
        <v>3.7252902984619141E-9</v>
      </c>
    </row>
    <row r="18" spans="1:43" ht="14.7" thickBot="1" x14ac:dyDescent="0.6">
      <c r="A18" t="s">
        <v>416</v>
      </c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50">
        <v>0</v>
      </c>
      <c r="T18" s="251">
        <v>0</v>
      </c>
      <c r="U18" s="251">
        <v>0</v>
      </c>
      <c r="V18" s="251">
        <v>0</v>
      </c>
      <c r="W18" s="251">
        <v>0</v>
      </c>
      <c r="X18" s="251">
        <v>0</v>
      </c>
      <c r="Y18" s="251">
        <v>0</v>
      </c>
      <c r="Z18" s="252">
        <v>0</v>
      </c>
      <c r="AA18" s="250">
        <v>0</v>
      </c>
      <c r="AB18" s="251">
        <v>0</v>
      </c>
      <c r="AC18" s="251">
        <v>0</v>
      </c>
      <c r="AD18" s="251">
        <v>0</v>
      </c>
      <c r="AE18" s="251" t="s">
        <v>417</v>
      </c>
      <c r="AF18" s="251" t="s">
        <v>417</v>
      </c>
      <c r="AG18" s="251" t="s">
        <v>417</v>
      </c>
      <c r="AH18" s="251" t="s">
        <v>417</v>
      </c>
      <c r="AI18" s="253" t="s">
        <v>406</v>
      </c>
      <c r="AJ18" s="254">
        <v>0</v>
      </c>
      <c r="AK18" s="255">
        <v>0</v>
      </c>
      <c r="AL18" s="255">
        <v>0</v>
      </c>
      <c r="AM18" s="255">
        <v>0</v>
      </c>
      <c r="AN18" s="255"/>
      <c r="AO18" s="255"/>
      <c r="AP18" s="256"/>
      <c r="AQ18" s="257" t="s">
        <v>331</v>
      </c>
    </row>
    <row r="19" spans="1:43" ht="20.399999999999999" hidden="1" thickBot="1" x14ac:dyDescent="0.6">
      <c r="A19" t="s">
        <v>418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4">
        <f t="shared" ref="S19:AG19" si="7">S17*S20</f>
        <v>0</v>
      </c>
      <c r="T19" s="284">
        <f t="shared" si="7"/>
        <v>0</v>
      </c>
      <c r="U19" s="284">
        <f t="shared" si="7"/>
        <v>0</v>
      </c>
      <c r="V19" s="284">
        <f t="shared" si="7"/>
        <v>0</v>
      </c>
      <c r="W19" s="284">
        <f t="shared" si="7"/>
        <v>0</v>
      </c>
      <c r="X19" s="284">
        <f t="shared" si="7"/>
        <v>0</v>
      </c>
      <c r="Y19" s="284">
        <f t="shared" si="7"/>
        <v>0</v>
      </c>
      <c r="Z19" s="284">
        <f t="shared" si="7"/>
        <v>0</v>
      </c>
      <c r="AA19" s="284">
        <f t="shared" si="7"/>
        <v>0</v>
      </c>
      <c r="AB19" s="284">
        <f t="shared" si="7"/>
        <v>0</v>
      </c>
      <c r="AC19" s="284">
        <f t="shared" si="7"/>
        <v>0</v>
      </c>
      <c r="AD19" s="284">
        <f t="shared" si="7"/>
        <v>0</v>
      </c>
      <c r="AE19" s="284">
        <f t="shared" si="7"/>
        <v>61440</v>
      </c>
      <c r="AF19" s="284">
        <f t="shared" si="7"/>
        <v>3840</v>
      </c>
      <c r="AG19" s="284">
        <f t="shared" si="7"/>
        <v>240</v>
      </c>
      <c r="AH19" s="284">
        <f>AH17*AH20</f>
        <v>15</v>
      </c>
      <c r="AI19" s="285"/>
      <c r="AJ19" s="260">
        <f t="shared" ref="AJ19:AP19" si="8">AJ18*AJ17</f>
        <v>0</v>
      </c>
      <c r="AK19" s="260">
        <f t="shared" si="8"/>
        <v>0</v>
      </c>
      <c r="AL19" s="260">
        <f t="shared" si="8"/>
        <v>0</v>
      </c>
      <c r="AM19" s="260">
        <f t="shared" si="8"/>
        <v>0</v>
      </c>
      <c r="AN19" s="260">
        <f t="shared" si="8"/>
        <v>0</v>
      </c>
      <c r="AO19" s="260">
        <f t="shared" si="8"/>
        <v>0</v>
      </c>
      <c r="AP19" s="260">
        <f t="shared" si="8"/>
        <v>0</v>
      </c>
    </row>
    <row r="20" spans="1:43" ht="17.7" hidden="1" thickBot="1" x14ac:dyDescent="0.6">
      <c r="S20" s="259">
        <f t="shared" ref="S20:AH20" si="9">IF(S18&lt;=9,S18,IF(S18=$H15,$H13,IF(S18=$G15,$G13,IF(S18=$F15,$F13,IF(S18=$E15,$E13,IF(S18=$D15,$D13,IF(S18=$C15,$C13,)))))))</f>
        <v>0</v>
      </c>
      <c r="T20" s="259">
        <f t="shared" si="9"/>
        <v>0</v>
      </c>
      <c r="U20" s="259">
        <f t="shared" si="9"/>
        <v>0</v>
      </c>
      <c r="V20" s="259">
        <f t="shared" si="9"/>
        <v>0</v>
      </c>
      <c r="W20" s="259">
        <f t="shared" si="9"/>
        <v>0</v>
      </c>
      <c r="X20" s="259">
        <f t="shared" si="9"/>
        <v>0</v>
      </c>
      <c r="Y20" s="259">
        <f t="shared" si="9"/>
        <v>0</v>
      </c>
      <c r="Z20" s="259">
        <f t="shared" si="9"/>
        <v>0</v>
      </c>
      <c r="AA20" s="259">
        <f t="shared" si="9"/>
        <v>0</v>
      </c>
      <c r="AB20" s="259">
        <f t="shared" si="9"/>
        <v>0</v>
      </c>
      <c r="AC20" s="259">
        <f t="shared" si="9"/>
        <v>0</v>
      </c>
      <c r="AD20" s="259">
        <f t="shared" si="9"/>
        <v>0</v>
      </c>
      <c r="AE20" s="259">
        <f t="shared" si="9"/>
        <v>15</v>
      </c>
      <c r="AF20" s="259">
        <f t="shared" si="9"/>
        <v>15</v>
      </c>
      <c r="AG20" s="259">
        <f t="shared" si="9"/>
        <v>15</v>
      </c>
      <c r="AH20" s="259">
        <f t="shared" si="9"/>
        <v>15</v>
      </c>
      <c r="AI20" s="259"/>
      <c r="AJ20" s="259"/>
      <c r="AK20" s="259"/>
      <c r="AL20" s="259"/>
      <c r="AM20" s="259"/>
      <c r="AN20" s="259"/>
      <c r="AO20" s="259"/>
      <c r="AP20" s="259"/>
    </row>
    <row r="21" spans="1:43" ht="29.1" thickBot="1" x14ac:dyDescent="0.6">
      <c r="A21" s="75" t="s">
        <v>408</v>
      </c>
      <c r="B21" s="224">
        <v>10</v>
      </c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6"/>
      <c r="Z21" s="266"/>
      <c r="AA21" s="266"/>
      <c r="AB21" s="267" t="s">
        <v>409</v>
      </c>
      <c r="AC21" s="531">
        <f>SUM(S19:AP19)</f>
        <v>65535</v>
      </c>
      <c r="AD21" s="531"/>
      <c r="AE21" s="531"/>
      <c r="AF21" s="531"/>
      <c r="AG21" s="531"/>
      <c r="AH21" s="532"/>
      <c r="AI21" s="268"/>
      <c r="AJ21" s="269" t="s">
        <v>410</v>
      </c>
      <c r="AK21" s="270"/>
      <c r="AL21" s="270"/>
      <c r="AM21" s="271">
        <f>B21</f>
        <v>10</v>
      </c>
    </row>
    <row r="22" spans="1:43" s="273" customFormat="1" ht="15" thickTop="1" thickBot="1" x14ac:dyDescent="0.6">
      <c r="A22" s="272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</row>
    <row r="23" spans="1:43" ht="15" thickTop="1" thickBot="1" x14ac:dyDescent="0.6">
      <c r="A23" t="s">
        <v>399</v>
      </c>
      <c r="B23" s="224">
        <v>8</v>
      </c>
      <c r="C23" s="275"/>
      <c r="D23" s="276"/>
      <c r="E23" s="276"/>
      <c r="F23" s="276"/>
      <c r="G23" s="276"/>
      <c r="H23" s="276"/>
      <c r="I23" s="276"/>
      <c r="J23" s="277"/>
      <c r="K23" s="275">
        <v>7</v>
      </c>
      <c r="L23" s="276">
        <v>6</v>
      </c>
      <c r="M23" s="276">
        <v>5</v>
      </c>
      <c r="N23" s="276">
        <v>4</v>
      </c>
      <c r="O23" s="276">
        <v>3</v>
      </c>
      <c r="P23" s="276">
        <v>2</v>
      </c>
      <c r="Q23" s="276">
        <v>1</v>
      </c>
      <c r="R23" s="277">
        <v>0</v>
      </c>
    </row>
    <row r="24" spans="1:43" ht="14.7" thickBot="1" x14ac:dyDescent="0.6">
      <c r="A24" t="s">
        <v>419</v>
      </c>
      <c r="C24" s="234">
        <v>31</v>
      </c>
      <c r="D24" s="44">
        <f>C24-1</f>
        <v>30</v>
      </c>
      <c r="E24" s="44">
        <f t="shared" ref="E24:AH24" si="10">D24-1</f>
        <v>29</v>
      </c>
      <c r="F24" s="44">
        <f t="shared" si="10"/>
        <v>28</v>
      </c>
      <c r="G24" s="44">
        <f t="shared" si="10"/>
        <v>27</v>
      </c>
      <c r="H24" s="44">
        <f t="shared" si="10"/>
        <v>26</v>
      </c>
      <c r="I24" s="44">
        <f t="shared" si="10"/>
        <v>25</v>
      </c>
      <c r="J24" s="44">
        <f t="shared" si="10"/>
        <v>24</v>
      </c>
      <c r="K24" s="44">
        <f t="shared" si="10"/>
        <v>23</v>
      </c>
      <c r="L24" s="44">
        <f t="shared" si="10"/>
        <v>22</v>
      </c>
      <c r="M24" s="44">
        <f t="shared" si="10"/>
        <v>21</v>
      </c>
      <c r="N24" s="44">
        <f t="shared" si="10"/>
        <v>20</v>
      </c>
      <c r="O24" s="44">
        <f t="shared" si="10"/>
        <v>19</v>
      </c>
      <c r="P24" s="44">
        <f t="shared" si="10"/>
        <v>18</v>
      </c>
      <c r="Q24" s="44">
        <f t="shared" si="10"/>
        <v>17</v>
      </c>
      <c r="R24" s="44">
        <f t="shared" si="10"/>
        <v>16</v>
      </c>
      <c r="S24" s="234">
        <f t="shared" si="10"/>
        <v>15</v>
      </c>
      <c r="T24" s="44">
        <f t="shared" si="10"/>
        <v>14</v>
      </c>
      <c r="U24" s="44">
        <f t="shared" si="10"/>
        <v>13</v>
      </c>
      <c r="V24" s="44">
        <f t="shared" si="10"/>
        <v>12</v>
      </c>
      <c r="W24" s="44">
        <f t="shared" si="10"/>
        <v>11</v>
      </c>
      <c r="X24" s="44">
        <f t="shared" si="10"/>
        <v>10</v>
      </c>
      <c r="Y24" s="44">
        <f t="shared" si="10"/>
        <v>9</v>
      </c>
      <c r="Z24" s="44">
        <f t="shared" si="10"/>
        <v>8</v>
      </c>
      <c r="AA24" s="44">
        <f t="shared" si="10"/>
        <v>7</v>
      </c>
      <c r="AB24" s="44">
        <f t="shared" si="10"/>
        <v>6</v>
      </c>
      <c r="AC24" s="44">
        <f t="shared" si="10"/>
        <v>5</v>
      </c>
      <c r="AD24" s="44">
        <f t="shared" si="10"/>
        <v>4</v>
      </c>
      <c r="AE24" s="44">
        <f t="shared" si="10"/>
        <v>3</v>
      </c>
      <c r="AF24" s="44">
        <f t="shared" si="10"/>
        <v>2</v>
      </c>
      <c r="AG24" s="44">
        <f t="shared" si="10"/>
        <v>1</v>
      </c>
      <c r="AH24" s="235">
        <f t="shared" si="10"/>
        <v>0</v>
      </c>
      <c r="AJ24" s="236">
        <f>AH24-1</f>
        <v>-1</v>
      </c>
      <c r="AK24" s="237">
        <f t="shared" ref="AK24:AP24" si="11">AJ24-1</f>
        <v>-2</v>
      </c>
      <c r="AL24" s="237">
        <f t="shared" si="11"/>
        <v>-3</v>
      </c>
      <c r="AM24" s="237">
        <f t="shared" si="11"/>
        <v>-4</v>
      </c>
      <c r="AN24" s="237">
        <f t="shared" si="11"/>
        <v>-5</v>
      </c>
      <c r="AO24" s="237">
        <f t="shared" si="11"/>
        <v>-6</v>
      </c>
      <c r="AP24" s="238">
        <f t="shared" si="11"/>
        <v>-7</v>
      </c>
    </row>
    <row r="25" spans="1:43" ht="80.7" thickBot="1" x14ac:dyDescent="0.6">
      <c r="A25" s="239" t="s">
        <v>420</v>
      </c>
      <c r="B25" s="278" t="s">
        <v>404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>
        <f>POWER($B$23,S24)</f>
        <v>35184372088832</v>
      </c>
      <c r="T25" s="241">
        <f t="shared" ref="T25:AH25" si="12">POWER($B$23,T24)</f>
        <v>4398046511104</v>
      </c>
      <c r="U25" s="241">
        <f t="shared" si="12"/>
        <v>549755813888</v>
      </c>
      <c r="V25" s="241">
        <f t="shared" si="12"/>
        <v>68719476736</v>
      </c>
      <c r="W25" s="241">
        <f t="shared" si="12"/>
        <v>8589934592</v>
      </c>
      <c r="X25" s="241">
        <f t="shared" si="12"/>
        <v>1073741824</v>
      </c>
      <c r="Y25" s="241">
        <f t="shared" si="12"/>
        <v>134217728</v>
      </c>
      <c r="Z25" s="241">
        <f t="shared" si="12"/>
        <v>16777216</v>
      </c>
      <c r="AA25" s="241">
        <f t="shared" si="12"/>
        <v>2097152</v>
      </c>
      <c r="AB25" s="241">
        <f t="shared" si="12"/>
        <v>262144</v>
      </c>
      <c r="AC25" s="241">
        <f t="shared" si="12"/>
        <v>32768</v>
      </c>
      <c r="AD25" s="241">
        <f t="shared" si="12"/>
        <v>4096</v>
      </c>
      <c r="AE25" s="241">
        <f t="shared" si="12"/>
        <v>512</v>
      </c>
      <c r="AF25" s="241">
        <f t="shared" si="12"/>
        <v>64</v>
      </c>
      <c r="AG25" s="241">
        <f t="shared" si="12"/>
        <v>8</v>
      </c>
      <c r="AH25" s="241">
        <f t="shared" si="12"/>
        <v>1</v>
      </c>
      <c r="AI25" s="241"/>
      <c r="AJ25" s="281">
        <f t="shared" ref="AJ25:AP25" si="13">POWER($B$15,AJ24)</f>
        <v>6.25E-2</v>
      </c>
      <c r="AK25" s="281">
        <f t="shared" si="13"/>
        <v>3.90625E-3</v>
      </c>
      <c r="AL25" s="281">
        <f t="shared" si="13"/>
        <v>2.44140625E-4</v>
      </c>
      <c r="AM25" s="281">
        <f t="shared" si="13"/>
        <v>1.52587890625E-5</v>
      </c>
      <c r="AN25" s="281">
        <f t="shared" si="13"/>
        <v>9.5367431640625E-7</v>
      </c>
      <c r="AO25" s="281">
        <f t="shared" si="13"/>
        <v>5.9604644775390625E-8</v>
      </c>
      <c r="AP25" s="281">
        <f t="shared" si="13"/>
        <v>3.7252902984619141E-9</v>
      </c>
    </row>
    <row r="26" spans="1:43" ht="14.7" thickBot="1" x14ac:dyDescent="0.6">
      <c r="A26" t="s">
        <v>421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50">
        <v>0</v>
      </c>
      <c r="T26" s="251">
        <v>0</v>
      </c>
      <c r="U26" s="251">
        <v>0</v>
      </c>
      <c r="V26" s="251">
        <v>0</v>
      </c>
      <c r="W26" s="251">
        <v>0</v>
      </c>
      <c r="X26" s="251">
        <v>0</v>
      </c>
      <c r="Y26" s="251">
        <v>0</v>
      </c>
      <c r="Z26" s="252">
        <v>0</v>
      </c>
      <c r="AA26" s="250">
        <v>0</v>
      </c>
      <c r="AB26" s="251">
        <v>0</v>
      </c>
      <c r="AC26" s="251">
        <v>0</v>
      </c>
      <c r="AD26" s="251">
        <v>0</v>
      </c>
      <c r="AE26" s="251">
        <v>3</v>
      </c>
      <c r="AF26" s="251">
        <v>8</v>
      </c>
      <c r="AG26" s="251">
        <v>2</v>
      </c>
      <c r="AH26" s="251">
        <v>1</v>
      </c>
      <c r="AI26" s="253" t="s">
        <v>406</v>
      </c>
      <c r="AJ26" s="254">
        <v>0</v>
      </c>
      <c r="AK26" s="255">
        <v>0</v>
      </c>
      <c r="AL26" s="255">
        <v>0</v>
      </c>
      <c r="AM26" s="255">
        <v>0</v>
      </c>
      <c r="AN26" s="255">
        <v>0</v>
      </c>
      <c r="AO26" s="255">
        <v>0</v>
      </c>
      <c r="AP26" s="256">
        <v>0</v>
      </c>
      <c r="AQ26" s="257" t="s">
        <v>331</v>
      </c>
    </row>
    <row r="27" spans="1:43" ht="20.399999999999999" hidden="1" thickBot="1" x14ac:dyDescent="0.6">
      <c r="A27" t="s">
        <v>418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4">
        <f t="shared" ref="S27:AG27" si="14">S25*S28</f>
        <v>0</v>
      </c>
      <c r="T27" s="284">
        <f t="shared" si="14"/>
        <v>0</v>
      </c>
      <c r="U27" s="284">
        <f t="shared" si="14"/>
        <v>0</v>
      </c>
      <c r="V27" s="284">
        <f t="shared" si="14"/>
        <v>0</v>
      </c>
      <c r="W27" s="284">
        <f t="shared" si="14"/>
        <v>0</v>
      </c>
      <c r="X27" s="284">
        <f t="shared" si="14"/>
        <v>0</v>
      </c>
      <c r="Y27" s="284">
        <f t="shared" si="14"/>
        <v>0</v>
      </c>
      <c r="Z27" s="284">
        <f t="shared" si="14"/>
        <v>0</v>
      </c>
      <c r="AA27" s="284">
        <f t="shared" si="14"/>
        <v>0</v>
      </c>
      <c r="AB27" s="284">
        <f t="shared" si="14"/>
        <v>0</v>
      </c>
      <c r="AC27" s="284">
        <f t="shared" si="14"/>
        <v>0</v>
      </c>
      <c r="AD27" s="284">
        <f t="shared" si="14"/>
        <v>0</v>
      </c>
      <c r="AE27" s="284">
        <f t="shared" si="14"/>
        <v>1536</v>
      </c>
      <c r="AF27" s="284">
        <f t="shared" si="14"/>
        <v>512</v>
      </c>
      <c r="AG27" s="284">
        <f t="shared" si="14"/>
        <v>16</v>
      </c>
      <c r="AH27" s="284">
        <f>AH25*AH28</f>
        <v>1</v>
      </c>
      <c r="AI27" s="285"/>
      <c r="AJ27" s="260">
        <f t="shared" ref="AJ27:AP27" si="15">AJ26*AJ25</f>
        <v>0</v>
      </c>
      <c r="AK27" s="260">
        <f t="shared" si="15"/>
        <v>0</v>
      </c>
      <c r="AL27" s="260">
        <f t="shared" si="15"/>
        <v>0</v>
      </c>
      <c r="AM27" s="260">
        <f t="shared" si="15"/>
        <v>0</v>
      </c>
      <c r="AN27" s="260">
        <f t="shared" si="15"/>
        <v>0</v>
      </c>
      <c r="AO27" s="260">
        <f t="shared" si="15"/>
        <v>0</v>
      </c>
      <c r="AP27" s="260">
        <f t="shared" si="15"/>
        <v>0</v>
      </c>
    </row>
    <row r="28" spans="1:43" ht="14.7" hidden="1" thickBot="1" x14ac:dyDescent="0.6">
      <c r="A28" t="s">
        <v>422</v>
      </c>
      <c r="C28" s="264"/>
      <c r="D28" s="264"/>
      <c r="E28" s="264"/>
      <c r="F28" s="264"/>
      <c r="G28" s="264"/>
      <c r="H28" s="264"/>
      <c r="I28" s="264"/>
      <c r="J28" s="264"/>
      <c r="K28" s="264">
        <v>7</v>
      </c>
      <c r="L28" s="264">
        <v>6</v>
      </c>
      <c r="M28" s="264">
        <v>5</v>
      </c>
      <c r="N28" s="264">
        <v>4</v>
      </c>
      <c r="O28" s="264">
        <v>3</v>
      </c>
      <c r="P28" s="264">
        <v>2</v>
      </c>
      <c r="Q28" s="264">
        <v>1</v>
      </c>
      <c r="R28" s="264">
        <v>0</v>
      </c>
      <c r="S28" s="259">
        <f t="shared" ref="S28:AH28" si="16">IF(S26&lt;=9,S26,IF(S26=$H23,$H28,IF(S26=$G23,$G28,IF(S26=$F23,$F28,IF(S26=$E23,$E28,IF(S26=$D23,$D28,IF(S26=$C23,$C28,)))))))</f>
        <v>0</v>
      </c>
      <c r="T28" s="259">
        <f t="shared" si="16"/>
        <v>0</v>
      </c>
      <c r="U28" s="259">
        <f t="shared" si="16"/>
        <v>0</v>
      </c>
      <c r="V28" s="259">
        <f t="shared" si="16"/>
        <v>0</v>
      </c>
      <c r="W28" s="259">
        <f t="shared" si="16"/>
        <v>0</v>
      </c>
      <c r="X28" s="259">
        <f t="shared" si="16"/>
        <v>0</v>
      </c>
      <c r="Y28" s="259">
        <f t="shared" si="16"/>
        <v>0</v>
      </c>
      <c r="Z28" s="259">
        <f t="shared" si="16"/>
        <v>0</v>
      </c>
      <c r="AA28" s="259">
        <f t="shared" si="16"/>
        <v>0</v>
      </c>
      <c r="AB28" s="259">
        <f t="shared" si="16"/>
        <v>0</v>
      </c>
      <c r="AC28" s="259">
        <f t="shared" si="16"/>
        <v>0</v>
      </c>
      <c r="AD28" s="259">
        <f t="shared" si="16"/>
        <v>0</v>
      </c>
      <c r="AE28" s="259">
        <f t="shared" si="16"/>
        <v>3</v>
      </c>
      <c r="AF28" s="259">
        <f t="shared" si="16"/>
        <v>8</v>
      </c>
      <c r="AG28" s="259">
        <f t="shared" si="16"/>
        <v>2</v>
      </c>
      <c r="AH28" s="259">
        <f t="shared" si="16"/>
        <v>1</v>
      </c>
      <c r="AI28" s="259"/>
      <c r="AJ28" s="259"/>
      <c r="AK28" s="259"/>
      <c r="AL28" s="259"/>
      <c r="AM28" s="259"/>
      <c r="AN28" s="259"/>
      <c r="AO28" s="259"/>
      <c r="AP28" s="259"/>
    </row>
    <row r="29" spans="1:43" ht="28.8" x14ac:dyDescent="0.55000000000000004">
      <c r="A29" s="75" t="s">
        <v>408</v>
      </c>
      <c r="B29" s="224">
        <v>10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6"/>
      <c r="Z29" s="266"/>
      <c r="AA29" s="266"/>
      <c r="AB29" s="267" t="s">
        <v>409</v>
      </c>
      <c r="AC29" s="533">
        <f>SUM(S27:AP27)</f>
        <v>2065</v>
      </c>
      <c r="AD29" s="533"/>
      <c r="AE29" s="533"/>
      <c r="AF29" s="533"/>
      <c r="AG29" s="533"/>
      <c r="AH29" s="534"/>
      <c r="AI29" s="268"/>
      <c r="AJ29" s="269" t="s">
        <v>410</v>
      </c>
      <c r="AK29" s="270"/>
      <c r="AL29" s="270"/>
      <c r="AM29" s="271">
        <f>B29</f>
        <v>10</v>
      </c>
    </row>
  </sheetData>
  <mergeCells count="19">
    <mergeCell ref="AJ7:AP7"/>
    <mergeCell ref="F1:AF3"/>
    <mergeCell ref="AH1:AH3"/>
    <mergeCell ref="S4:AH4"/>
    <mergeCell ref="C5:J5"/>
    <mergeCell ref="S5:Z5"/>
    <mergeCell ref="C6:F6"/>
    <mergeCell ref="G6:J6"/>
    <mergeCell ref="K6:R6"/>
    <mergeCell ref="S6:V6"/>
    <mergeCell ref="W6:Z6"/>
    <mergeCell ref="AC13:AH13"/>
    <mergeCell ref="AC21:AH21"/>
    <mergeCell ref="AC29:AH29"/>
    <mergeCell ref="AA6:AH6"/>
    <mergeCell ref="C7:R7"/>
    <mergeCell ref="S7:V7"/>
    <mergeCell ref="W7:Z7"/>
    <mergeCell ref="AE7:AH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workbookViewId="0"/>
  </sheetViews>
  <sheetFormatPr baseColWidth="10" defaultRowHeight="14.4" x14ac:dyDescent="0.55000000000000004"/>
  <cols>
    <col min="1" max="1" width="11.41796875" style="68" customWidth="1"/>
    <col min="2" max="2" width="36.83984375" customWidth="1"/>
    <col min="3" max="3" width="7.83984375" customWidth="1"/>
    <col min="4" max="4" width="7.578125" customWidth="1"/>
    <col min="5" max="5" width="11" customWidth="1"/>
    <col min="6" max="7" width="11.578125" customWidth="1"/>
    <col min="8" max="8" width="7.26171875" bestFit="1" customWidth="1"/>
    <col min="9" max="10" width="5" bestFit="1" customWidth="1"/>
    <col min="11" max="11" width="17.15625" customWidth="1"/>
    <col min="12" max="12" width="13.68359375" customWidth="1"/>
    <col min="13" max="13" width="35.26171875" customWidth="1"/>
    <col min="257" max="257" width="11.41796875" customWidth="1"/>
    <col min="258" max="258" width="36.83984375" customWidth="1"/>
    <col min="259" max="259" width="7.83984375" customWidth="1"/>
    <col min="260" max="260" width="7.578125" customWidth="1"/>
    <col min="261" max="261" width="11" customWidth="1"/>
    <col min="262" max="263" width="11.578125" customWidth="1"/>
    <col min="264" max="264" width="7.26171875" bestFit="1" customWidth="1"/>
    <col min="265" max="266" width="5" bestFit="1" customWidth="1"/>
    <col min="267" max="267" width="17.15625" customWidth="1"/>
    <col min="268" max="268" width="13.68359375" customWidth="1"/>
    <col min="269" max="269" width="35.26171875" customWidth="1"/>
    <col min="513" max="513" width="11.41796875" customWidth="1"/>
    <col min="514" max="514" width="36.83984375" customWidth="1"/>
    <col min="515" max="515" width="7.83984375" customWidth="1"/>
    <col min="516" max="516" width="7.578125" customWidth="1"/>
    <col min="517" max="517" width="11" customWidth="1"/>
    <col min="518" max="519" width="11.578125" customWidth="1"/>
    <col min="520" max="520" width="7.26171875" bestFit="1" customWidth="1"/>
    <col min="521" max="522" width="5" bestFit="1" customWidth="1"/>
    <col min="523" max="523" width="17.15625" customWidth="1"/>
    <col min="524" max="524" width="13.68359375" customWidth="1"/>
    <col min="525" max="525" width="35.26171875" customWidth="1"/>
    <col min="769" max="769" width="11.41796875" customWidth="1"/>
    <col min="770" max="770" width="36.83984375" customWidth="1"/>
    <col min="771" max="771" width="7.83984375" customWidth="1"/>
    <col min="772" max="772" width="7.578125" customWidth="1"/>
    <col min="773" max="773" width="11" customWidth="1"/>
    <col min="774" max="775" width="11.578125" customWidth="1"/>
    <col min="776" max="776" width="7.26171875" bestFit="1" customWidth="1"/>
    <col min="777" max="778" width="5" bestFit="1" customWidth="1"/>
    <col min="779" max="779" width="17.15625" customWidth="1"/>
    <col min="780" max="780" width="13.68359375" customWidth="1"/>
    <col min="781" max="781" width="35.26171875" customWidth="1"/>
    <col min="1025" max="1025" width="11.41796875" customWidth="1"/>
    <col min="1026" max="1026" width="36.83984375" customWidth="1"/>
    <col min="1027" max="1027" width="7.83984375" customWidth="1"/>
    <col min="1028" max="1028" width="7.578125" customWidth="1"/>
    <col min="1029" max="1029" width="11" customWidth="1"/>
    <col min="1030" max="1031" width="11.578125" customWidth="1"/>
    <col min="1032" max="1032" width="7.26171875" bestFit="1" customWidth="1"/>
    <col min="1033" max="1034" width="5" bestFit="1" customWidth="1"/>
    <col min="1035" max="1035" width="17.15625" customWidth="1"/>
    <col min="1036" max="1036" width="13.68359375" customWidth="1"/>
    <col min="1037" max="1037" width="35.26171875" customWidth="1"/>
    <col min="1281" max="1281" width="11.41796875" customWidth="1"/>
    <col min="1282" max="1282" width="36.83984375" customWidth="1"/>
    <col min="1283" max="1283" width="7.83984375" customWidth="1"/>
    <col min="1284" max="1284" width="7.578125" customWidth="1"/>
    <col min="1285" max="1285" width="11" customWidth="1"/>
    <col min="1286" max="1287" width="11.578125" customWidth="1"/>
    <col min="1288" max="1288" width="7.26171875" bestFit="1" customWidth="1"/>
    <col min="1289" max="1290" width="5" bestFit="1" customWidth="1"/>
    <col min="1291" max="1291" width="17.15625" customWidth="1"/>
    <col min="1292" max="1292" width="13.68359375" customWidth="1"/>
    <col min="1293" max="1293" width="35.26171875" customWidth="1"/>
    <col min="1537" max="1537" width="11.41796875" customWidth="1"/>
    <col min="1538" max="1538" width="36.83984375" customWidth="1"/>
    <col min="1539" max="1539" width="7.83984375" customWidth="1"/>
    <col min="1540" max="1540" width="7.578125" customWidth="1"/>
    <col min="1541" max="1541" width="11" customWidth="1"/>
    <col min="1542" max="1543" width="11.578125" customWidth="1"/>
    <col min="1544" max="1544" width="7.26171875" bestFit="1" customWidth="1"/>
    <col min="1545" max="1546" width="5" bestFit="1" customWidth="1"/>
    <col min="1547" max="1547" width="17.15625" customWidth="1"/>
    <col min="1548" max="1548" width="13.68359375" customWidth="1"/>
    <col min="1549" max="1549" width="35.26171875" customWidth="1"/>
    <col min="1793" max="1793" width="11.41796875" customWidth="1"/>
    <col min="1794" max="1794" width="36.83984375" customWidth="1"/>
    <col min="1795" max="1795" width="7.83984375" customWidth="1"/>
    <col min="1796" max="1796" width="7.578125" customWidth="1"/>
    <col min="1797" max="1797" width="11" customWidth="1"/>
    <col min="1798" max="1799" width="11.578125" customWidth="1"/>
    <col min="1800" max="1800" width="7.26171875" bestFit="1" customWidth="1"/>
    <col min="1801" max="1802" width="5" bestFit="1" customWidth="1"/>
    <col min="1803" max="1803" width="17.15625" customWidth="1"/>
    <col min="1804" max="1804" width="13.68359375" customWidth="1"/>
    <col min="1805" max="1805" width="35.26171875" customWidth="1"/>
    <col min="2049" max="2049" width="11.41796875" customWidth="1"/>
    <col min="2050" max="2050" width="36.83984375" customWidth="1"/>
    <col min="2051" max="2051" width="7.83984375" customWidth="1"/>
    <col min="2052" max="2052" width="7.578125" customWidth="1"/>
    <col min="2053" max="2053" width="11" customWidth="1"/>
    <col min="2054" max="2055" width="11.578125" customWidth="1"/>
    <col min="2056" max="2056" width="7.26171875" bestFit="1" customWidth="1"/>
    <col min="2057" max="2058" width="5" bestFit="1" customWidth="1"/>
    <col min="2059" max="2059" width="17.15625" customWidth="1"/>
    <col min="2060" max="2060" width="13.68359375" customWidth="1"/>
    <col min="2061" max="2061" width="35.26171875" customWidth="1"/>
    <col min="2305" max="2305" width="11.41796875" customWidth="1"/>
    <col min="2306" max="2306" width="36.83984375" customWidth="1"/>
    <col min="2307" max="2307" width="7.83984375" customWidth="1"/>
    <col min="2308" max="2308" width="7.578125" customWidth="1"/>
    <col min="2309" max="2309" width="11" customWidth="1"/>
    <col min="2310" max="2311" width="11.578125" customWidth="1"/>
    <col min="2312" max="2312" width="7.26171875" bestFit="1" customWidth="1"/>
    <col min="2313" max="2314" width="5" bestFit="1" customWidth="1"/>
    <col min="2315" max="2315" width="17.15625" customWidth="1"/>
    <col min="2316" max="2316" width="13.68359375" customWidth="1"/>
    <col min="2317" max="2317" width="35.26171875" customWidth="1"/>
    <col min="2561" max="2561" width="11.41796875" customWidth="1"/>
    <col min="2562" max="2562" width="36.83984375" customWidth="1"/>
    <col min="2563" max="2563" width="7.83984375" customWidth="1"/>
    <col min="2564" max="2564" width="7.578125" customWidth="1"/>
    <col min="2565" max="2565" width="11" customWidth="1"/>
    <col min="2566" max="2567" width="11.578125" customWidth="1"/>
    <col min="2568" max="2568" width="7.26171875" bestFit="1" customWidth="1"/>
    <col min="2569" max="2570" width="5" bestFit="1" customWidth="1"/>
    <col min="2571" max="2571" width="17.15625" customWidth="1"/>
    <col min="2572" max="2572" width="13.68359375" customWidth="1"/>
    <col min="2573" max="2573" width="35.26171875" customWidth="1"/>
    <col min="2817" max="2817" width="11.41796875" customWidth="1"/>
    <col min="2818" max="2818" width="36.83984375" customWidth="1"/>
    <col min="2819" max="2819" width="7.83984375" customWidth="1"/>
    <col min="2820" max="2820" width="7.578125" customWidth="1"/>
    <col min="2821" max="2821" width="11" customWidth="1"/>
    <col min="2822" max="2823" width="11.578125" customWidth="1"/>
    <col min="2824" max="2824" width="7.26171875" bestFit="1" customWidth="1"/>
    <col min="2825" max="2826" width="5" bestFit="1" customWidth="1"/>
    <col min="2827" max="2827" width="17.15625" customWidth="1"/>
    <col min="2828" max="2828" width="13.68359375" customWidth="1"/>
    <col min="2829" max="2829" width="35.26171875" customWidth="1"/>
    <col min="3073" max="3073" width="11.41796875" customWidth="1"/>
    <col min="3074" max="3074" width="36.83984375" customWidth="1"/>
    <col min="3075" max="3075" width="7.83984375" customWidth="1"/>
    <col min="3076" max="3076" width="7.578125" customWidth="1"/>
    <col min="3077" max="3077" width="11" customWidth="1"/>
    <col min="3078" max="3079" width="11.578125" customWidth="1"/>
    <col min="3080" max="3080" width="7.26171875" bestFit="1" customWidth="1"/>
    <col min="3081" max="3082" width="5" bestFit="1" customWidth="1"/>
    <col min="3083" max="3083" width="17.15625" customWidth="1"/>
    <col min="3084" max="3084" width="13.68359375" customWidth="1"/>
    <col min="3085" max="3085" width="35.26171875" customWidth="1"/>
    <col min="3329" max="3329" width="11.41796875" customWidth="1"/>
    <col min="3330" max="3330" width="36.83984375" customWidth="1"/>
    <col min="3331" max="3331" width="7.83984375" customWidth="1"/>
    <col min="3332" max="3332" width="7.578125" customWidth="1"/>
    <col min="3333" max="3333" width="11" customWidth="1"/>
    <col min="3334" max="3335" width="11.578125" customWidth="1"/>
    <col min="3336" max="3336" width="7.26171875" bestFit="1" customWidth="1"/>
    <col min="3337" max="3338" width="5" bestFit="1" customWidth="1"/>
    <col min="3339" max="3339" width="17.15625" customWidth="1"/>
    <col min="3340" max="3340" width="13.68359375" customWidth="1"/>
    <col min="3341" max="3341" width="35.26171875" customWidth="1"/>
    <col min="3585" max="3585" width="11.41796875" customWidth="1"/>
    <col min="3586" max="3586" width="36.83984375" customWidth="1"/>
    <col min="3587" max="3587" width="7.83984375" customWidth="1"/>
    <col min="3588" max="3588" width="7.578125" customWidth="1"/>
    <col min="3589" max="3589" width="11" customWidth="1"/>
    <col min="3590" max="3591" width="11.578125" customWidth="1"/>
    <col min="3592" max="3592" width="7.26171875" bestFit="1" customWidth="1"/>
    <col min="3593" max="3594" width="5" bestFit="1" customWidth="1"/>
    <col min="3595" max="3595" width="17.15625" customWidth="1"/>
    <col min="3596" max="3596" width="13.68359375" customWidth="1"/>
    <col min="3597" max="3597" width="35.26171875" customWidth="1"/>
    <col min="3841" max="3841" width="11.41796875" customWidth="1"/>
    <col min="3842" max="3842" width="36.83984375" customWidth="1"/>
    <col min="3843" max="3843" width="7.83984375" customWidth="1"/>
    <col min="3844" max="3844" width="7.578125" customWidth="1"/>
    <col min="3845" max="3845" width="11" customWidth="1"/>
    <col min="3846" max="3847" width="11.578125" customWidth="1"/>
    <col min="3848" max="3848" width="7.26171875" bestFit="1" customWidth="1"/>
    <col min="3849" max="3850" width="5" bestFit="1" customWidth="1"/>
    <col min="3851" max="3851" width="17.15625" customWidth="1"/>
    <col min="3852" max="3852" width="13.68359375" customWidth="1"/>
    <col min="3853" max="3853" width="35.26171875" customWidth="1"/>
    <col min="4097" max="4097" width="11.41796875" customWidth="1"/>
    <col min="4098" max="4098" width="36.83984375" customWidth="1"/>
    <col min="4099" max="4099" width="7.83984375" customWidth="1"/>
    <col min="4100" max="4100" width="7.578125" customWidth="1"/>
    <col min="4101" max="4101" width="11" customWidth="1"/>
    <col min="4102" max="4103" width="11.578125" customWidth="1"/>
    <col min="4104" max="4104" width="7.26171875" bestFit="1" customWidth="1"/>
    <col min="4105" max="4106" width="5" bestFit="1" customWidth="1"/>
    <col min="4107" max="4107" width="17.15625" customWidth="1"/>
    <col min="4108" max="4108" width="13.68359375" customWidth="1"/>
    <col min="4109" max="4109" width="35.26171875" customWidth="1"/>
    <col min="4353" max="4353" width="11.41796875" customWidth="1"/>
    <col min="4354" max="4354" width="36.83984375" customWidth="1"/>
    <col min="4355" max="4355" width="7.83984375" customWidth="1"/>
    <col min="4356" max="4356" width="7.578125" customWidth="1"/>
    <col min="4357" max="4357" width="11" customWidth="1"/>
    <col min="4358" max="4359" width="11.578125" customWidth="1"/>
    <col min="4360" max="4360" width="7.26171875" bestFit="1" customWidth="1"/>
    <col min="4361" max="4362" width="5" bestFit="1" customWidth="1"/>
    <col min="4363" max="4363" width="17.15625" customWidth="1"/>
    <col min="4364" max="4364" width="13.68359375" customWidth="1"/>
    <col min="4365" max="4365" width="35.26171875" customWidth="1"/>
    <col min="4609" max="4609" width="11.41796875" customWidth="1"/>
    <col min="4610" max="4610" width="36.83984375" customWidth="1"/>
    <col min="4611" max="4611" width="7.83984375" customWidth="1"/>
    <col min="4612" max="4612" width="7.578125" customWidth="1"/>
    <col min="4613" max="4613" width="11" customWidth="1"/>
    <col min="4614" max="4615" width="11.578125" customWidth="1"/>
    <col min="4616" max="4616" width="7.26171875" bestFit="1" customWidth="1"/>
    <col min="4617" max="4618" width="5" bestFit="1" customWidth="1"/>
    <col min="4619" max="4619" width="17.15625" customWidth="1"/>
    <col min="4620" max="4620" width="13.68359375" customWidth="1"/>
    <col min="4621" max="4621" width="35.26171875" customWidth="1"/>
    <col min="4865" max="4865" width="11.41796875" customWidth="1"/>
    <col min="4866" max="4866" width="36.83984375" customWidth="1"/>
    <col min="4867" max="4867" width="7.83984375" customWidth="1"/>
    <col min="4868" max="4868" width="7.578125" customWidth="1"/>
    <col min="4869" max="4869" width="11" customWidth="1"/>
    <col min="4870" max="4871" width="11.578125" customWidth="1"/>
    <col min="4872" max="4872" width="7.26171875" bestFit="1" customWidth="1"/>
    <col min="4873" max="4874" width="5" bestFit="1" customWidth="1"/>
    <col min="4875" max="4875" width="17.15625" customWidth="1"/>
    <col min="4876" max="4876" width="13.68359375" customWidth="1"/>
    <col min="4877" max="4877" width="35.26171875" customWidth="1"/>
    <col min="5121" max="5121" width="11.41796875" customWidth="1"/>
    <col min="5122" max="5122" width="36.83984375" customWidth="1"/>
    <col min="5123" max="5123" width="7.83984375" customWidth="1"/>
    <col min="5124" max="5124" width="7.578125" customWidth="1"/>
    <col min="5125" max="5125" width="11" customWidth="1"/>
    <col min="5126" max="5127" width="11.578125" customWidth="1"/>
    <col min="5128" max="5128" width="7.26171875" bestFit="1" customWidth="1"/>
    <col min="5129" max="5130" width="5" bestFit="1" customWidth="1"/>
    <col min="5131" max="5131" width="17.15625" customWidth="1"/>
    <col min="5132" max="5132" width="13.68359375" customWidth="1"/>
    <col min="5133" max="5133" width="35.26171875" customWidth="1"/>
    <col min="5377" max="5377" width="11.41796875" customWidth="1"/>
    <col min="5378" max="5378" width="36.83984375" customWidth="1"/>
    <col min="5379" max="5379" width="7.83984375" customWidth="1"/>
    <col min="5380" max="5380" width="7.578125" customWidth="1"/>
    <col min="5381" max="5381" width="11" customWidth="1"/>
    <col min="5382" max="5383" width="11.578125" customWidth="1"/>
    <col min="5384" max="5384" width="7.26171875" bestFit="1" customWidth="1"/>
    <col min="5385" max="5386" width="5" bestFit="1" customWidth="1"/>
    <col min="5387" max="5387" width="17.15625" customWidth="1"/>
    <col min="5388" max="5388" width="13.68359375" customWidth="1"/>
    <col min="5389" max="5389" width="35.26171875" customWidth="1"/>
    <col min="5633" max="5633" width="11.41796875" customWidth="1"/>
    <col min="5634" max="5634" width="36.83984375" customWidth="1"/>
    <col min="5635" max="5635" width="7.83984375" customWidth="1"/>
    <col min="5636" max="5636" width="7.578125" customWidth="1"/>
    <col min="5637" max="5637" width="11" customWidth="1"/>
    <col min="5638" max="5639" width="11.578125" customWidth="1"/>
    <col min="5640" max="5640" width="7.26171875" bestFit="1" customWidth="1"/>
    <col min="5641" max="5642" width="5" bestFit="1" customWidth="1"/>
    <col min="5643" max="5643" width="17.15625" customWidth="1"/>
    <col min="5644" max="5644" width="13.68359375" customWidth="1"/>
    <col min="5645" max="5645" width="35.26171875" customWidth="1"/>
    <col min="5889" max="5889" width="11.41796875" customWidth="1"/>
    <col min="5890" max="5890" width="36.83984375" customWidth="1"/>
    <col min="5891" max="5891" width="7.83984375" customWidth="1"/>
    <col min="5892" max="5892" width="7.578125" customWidth="1"/>
    <col min="5893" max="5893" width="11" customWidth="1"/>
    <col min="5894" max="5895" width="11.578125" customWidth="1"/>
    <col min="5896" max="5896" width="7.26171875" bestFit="1" customWidth="1"/>
    <col min="5897" max="5898" width="5" bestFit="1" customWidth="1"/>
    <col min="5899" max="5899" width="17.15625" customWidth="1"/>
    <col min="5900" max="5900" width="13.68359375" customWidth="1"/>
    <col min="5901" max="5901" width="35.26171875" customWidth="1"/>
    <col min="6145" max="6145" width="11.41796875" customWidth="1"/>
    <col min="6146" max="6146" width="36.83984375" customWidth="1"/>
    <col min="6147" max="6147" width="7.83984375" customWidth="1"/>
    <col min="6148" max="6148" width="7.578125" customWidth="1"/>
    <col min="6149" max="6149" width="11" customWidth="1"/>
    <col min="6150" max="6151" width="11.578125" customWidth="1"/>
    <col min="6152" max="6152" width="7.26171875" bestFit="1" customWidth="1"/>
    <col min="6153" max="6154" width="5" bestFit="1" customWidth="1"/>
    <col min="6155" max="6155" width="17.15625" customWidth="1"/>
    <col min="6156" max="6156" width="13.68359375" customWidth="1"/>
    <col min="6157" max="6157" width="35.26171875" customWidth="1"/>
    <col min="6401" max="6401" width="11.41796875" customWidth="1"/>
    <col min="6402" max="6402" width="36.83984375" customWidth="1"/>
    <col min="6403" max="6403" width="7.83984375" customWidth="1"/>
    <col min="6404" max="6404" width="7.578125" customWidth="1"/>
    <col min="6405" max="6405" width="11" customWidth="1"/>
    <col min="6406" max="6407" width="11.578125" customWidth="1"/>
    <col min="6408" max="6408" width="7.26171875" bestFit="1" customWidth="1"/>
    <col min="6409" max="6410" width="5" bestFit="1" customWidth="1"/>
    <col min="6411" max="6411" width="17.15625" customWidth="1"/>
    <col min="6412" max="6412" width="13.68359375" customWidth="1"/>
    <col min="6413" max="6413" width="35.26171875" customWidth="1"/>
    <col min="6657" max="6657" width="11.41796875" customWidth="1"/>
    <col min="6658" max="6658" width="36.83984375" customWidth="1"/>
    <col min="6659" max="6659" width="7.83984375" customWidth="1"/>
    <col min="6660" max="6660" width="7.578125" customWidth="1"/>
    <col min="6661" max="6661" width="11" customWidth="1"/>
    <col min="6662" max="6663" width="11.578125" customWidth="1"/>
    <col min="6664" max="6664" width="7.26171875" bestFit="1" customWidth="1"/>
    <col min="6665" max="6666" width="5" bestFit="1" customWidth="1"/>
    <col min="6667" max="6667" width="17.15625" customWidth="1"/>
    <col min="6668" max="6668" width="13.68359375" customWidth="1"/>
    <col min="6669" max="6669" width="35.26171875" customWidth="1"/>
    <col min="6913" max="6913" width="11.41796875" customWidth="1"/>
    <col min="6914" max="6914" width="36.83984375" customWidth="1"/>
    <col min="6915" max="6915" width="7.83984375" customWidth="1"/>
    <col min="6916" max="6916" width="7.578125" customWidth="1"/>
    <col min="6917" max="6917" width="11" customWidth="1"/>
    <col min="6918" max="6919" width="11.578125" customWidth="1"/>
    <col min="6920" max="6920" width="7.26171875" bestFit="1" customWidth="1"/>
    <col min="6921" max="6922" width="5" bestFit="1" customWidth="1"/>
    <col min="6923" max="6923" width="17.15625" customWidth="1"/>
    <col min="6924" max="6924" width="13.68359375" customWidth="1"/>
    <col min="6925" max="6925" width="35.26171875" customWidth="1"/>
    <col min="7169" max="7169" width="11.41796875" customWidth="1"/>
    <col min="7170" max="7170" width="36.83984375" customWidth="1"/>
    <col min="7171" max="7171" width="7.83984375" customWidth="1"/>
    <col min="7172" max="7172" width="7.578125" customWidth="1"/>
    <col min="7173" max="7173" width="11" customWidth="1"/>
    <col min="7174" max="7175" width="11.578125" customWidth="1"/>
    <col min="7176" max="7176" width="7.26171875" bestFit="1" customWidth="1"/>
    <col min="7177" max="7178" width="5" bestFit="1" customWidth="1"/>
    <col min="7179" max="7179" width="17.15625" customWidth="1"/>
    <col min="7180" max="7180" width="13.68359375" customWidth="1"/>
    <col min="7181" max="7181" width="35.26171875" customWidth="1"/>
    <col min="7425" max="7425" width="11.41796875" customWidth="1"/>
    <col min="7426" max="7426" width="36.83984375" customWidth="1"/>
    <col min="7427" max="7427" width="7.83984375" customWidth="1"/>
    <col min="7428" max="7428" width="7.578125" customWidth="1"/>
    <col min="7429" max="7429" width="11" customWidth="1"/>
    <col min="7430" max="7431" width="11.578125" customWidth="1"/>
    <col min="7432" max="7432" width="7.26171875" bestFit="1" customWidth="1"/>
    <col min="7433" max="7434" width="5" bestFit="1" customWidth="1"/>
    <col min="7435" max="7435" width="17.15625" customWidth="1"/>
    <col min="7436" max="7436" width="13.68359375" customWidth="1"/>
    <col min="7437" max="7437" width="35.26171875" customWidth="1"/>
    <col min="7681" max="7681" width="11.41796875" customWidth="1"/>
    <col min="7682" max="7682" width="36.83984375" customWidth="1"/>
    <col min="7683" max="7683" width="7.83984375" customWidth="1"/>
    <col min="7684" max="7684" width="7.578125" customWidth="1"/>
    <col min="7685" max="7685" width="11" customWidth="1"/>
    <col min="7686" max="7687" width="11.578125" customWidth="1"/>
    <col min="7688" max="7688" width="7.26171875" bestFit="1" customWidth="1"/>
    <col min="7689" max="7690" width="5" bestFit="1" customWidth="1"/>
    <col min="7691" max="7691" width="17.15625" customWidth="1"/>
    <col min="7692" max="7692" width="13.68359375" customWidth="1"/>
    <col min="7693" max="7693" width="35.26171875" customWidth="1"/>
    <col min="7937" max="7937" width="11.41796875" customWidth="1"/>
    <col min="7938" max="7938" width="36.83984375" customWidth="1"/>
    <col min="7939" max="7939" width="7.83984375" customWidth="1"/>
    <col min="7940" max="7940" width="7.578125" customWidth="1"/>
    <col min="7941" max="7941" width="11" customWidth="1"/>
    <col min="7942" max="7943" width="11.578125" customWidth="1"/>
    <col min="7944" max="7944" width="7.26171875" bestFit="1" customWidth="1"/>
    <col min="7945" max="7946" width="5" bestFit="1" customWidth="1"/>
    <col min="7947" max="7947" width="17.15625" customWidth="1"/>
    <col min="7948" max="7948" width="13.68359375" customWidth="1"/>
    <col min="7949" max="7949" width="35.26171875" customWidth="1"/>
    <col min="8193" max="8193" width="11.41796875" customWidth="1"/>
    <col min="8194" max="8194" width="36.83984375" customWidth="1"/>
    <col min="8195" max="8195" width="7.83984375" customWidth="1"/>
    <col min="8196" max="8196" width="7.578125" customWidth="1"/>
    <col min="8197" max="8197" width="11" customWidth="1"/>
    <col min="8198" max="8199" width="11.578125" customWidth="1"/>
    <col min="8200" max="8200" width="7.26171875" bestFit="1" customWidth="1"/>
    <col min="8201" max="8202" width="5" bestFit="1" customWidth="1"/>
    <col min="8203" max="8203" width="17.15625" customWidth="1"/>
    <col min="8204" max="8204" width="13.68359375" customWidth="1"/>
    <col min="8205" max="8205" width="35.26171875" customWidth="1"/>
    <col min="8449" max="8449" width="11.41796875" customWidth="1"/>
    <col min="8450" max="8450" width="36.83984375" customWidth="1"/>
    <col min="8451" max="8451" width="7.83984375" customWidth="1"/>
    <col min="8452" max="8452" width="7.578125" customWidth="1"/>
    <col min="8453" max="8453" width="11" customWidth="1"/>
    <col min="8454" max="8455" width="11.578125" customWidth="1"/>
    <col min="8456" max="8456" width="7.26171875" bestFit="1" customWidth="1"/>
    <col min="8457" max="8458" width="5" bestFit="1" customWidth="1"/>
    <col min="8459" max="8459" width="17.15625" customWidth="1"/>
    <col min="8460" max="8460" width="13.68359375" customWidth="1"/>
    <col min="8461" max="8461" width="35.26171875" customWidth="1"/>
    <col min="8705" max="8705" width="11.41796875" customWidth="1"/>
    <col min="8706" max="8706" width="36.83984375" customWidth="1"/>
    <col min="8707" max="8707" width="7.83984375" customWidth="1"/>
    <col min="8708" max="8708" width="7.578125" customWidth="1"/>
    <col min="8709" max="8709" width="11" customWidth="1"/>
    <col min="8710" max="8711" width="11.578125" customWidth="1"/>
    <col min="8712" max="8712" width="7.26171875" bestFit="1" customWidth="1"/>
    <col min="8713" max="8714" width="5" bestFit="1" customWidth="1"/>
    <col min="8715" max="8715" width="17.15625" customWidth="1"/>
    <col min="8716" max="8716" width="13.68359375" customWidth="1"/>
    <col min="8717" max="8717" width="35.26171875" customWidth="1"/>
    <col min="8961" max="8961" width="11.41796875" customWidth="1"/>
    <col min="8962" max="8962" width="36.83984375" customWidth="1"/>
    <col min="8963" max="8963" width="7.83984375" customWidth="1"/>
    <col min="8964" max="8964" width="7.578125" customWidth="1"/>
    <col min="8965" max="8965" width="11" customWidth="1"/>
    <col min="8966" max="8967" width="11.578125" customWidth="1"/>
    <col min="8968" max="8968" width="7.26171875" bestFit="1" customWidth="1"/>
    <col min="8969" max="8970" width="5" bestFit="1" customWidth="1"/>
    <col min="8971" max="8971" width="17.15625" customWidth="1"/>
    <col min="8972" max="8972" width="13.68359375" customWidth="1"/>
    <col min="8973" max="8973" width="35.26171875" customWidth="1"/>
    <col min="9217" max="9217" width="11.41796875" customWidth="1"/>
    <col min="9218" max="9218" width="36.83984375" customWidth="1"/>
    <col min="9219" max="9219" width="7.83984375" customWidth="1"/>
    <col min="9220" max="9220" width="7.578125" customWidth="1"/>
    <col min="9221" max="9221" width="11" customWidth="1"/>
    <col min="9222" max="9223" width="11.578125" customWidth="1"/>
    <col min="9224" max="9224" width="7.26171875" bestFit="1" customWidth="1"/>
    <col min="9225" max="9226" width="5" bestFit="1" customWidth="1"/>
    <col min="9227" max="9227" width="17.15625" customWidth="1"/>
    <col min="9228" max="9228" width="13.68359375" customWidth="1"/>
    <col min="9229" max="9229" width="35.26171875" customWidth="1"/>
    <col min="9473" max="9473" width="11.41796875" customWidth="1"/>
    <col min="9474" max="9474" width="36.83984375" customWidth="1"/>
    <col min="9475" max="9475" width="7.83984375" customWidth="1"/>
    <col min="9476" max="9476" width="7.578125" customWidth="1"/>
    <col min="9477" max="9477" width="11" customWidth="1"/>
    <col min="9478" max="9479" width="11.578125" customWidth="1"/>
    <col min="9480" max="9480" width="7.26171875" bestFit="1" customWidth="1"/>
    <col min="9481" max="9482" width="5" bestFit="1" customWidth="1"/>
    <col min="9483" max="9483" width="17.15625" customWidth="1"/>
    <col min="9484" max="9484" width="13.68359375" customWidth="1"/>
    <col min="9485" max="9485" width="35.26171875" customWidth="1"/>
    <col min="9729" max="9729" width="11.41796875" customWidth="1"/>
    <col min="9730" max="9730" width="36.83984375" customWidth="1"/>
    <col min="9731" max="9731" width="7.83984375" customWidth="1"/>
    <col min="9732" max="9732" width="7.578125" customWidth="1"/>
    <col min="9733" max="9733" width="11" customWidth="1"/>
    <col min="9734" max="9735" width="11.578125" customWidth="1"/>
    <col min="9736" max="9736" width="7.26171875" bestFit="1" customWidth="1"/>
    <col min="9737" max="9738" width="5" bestFit="1" customWidth="1"/>
    <col min="9739" max="9739" width="17.15625" customWidth="1"/>
    <col min="9740" max="9740" width="13.68359375" customWidth="1"/>
    <col min="9741" max="9741" width="35.26171875" customWidth="1"/>
    <col min="9985" max="9985" width="11.41796875" customWidth="1"/>
    <col min="9986" max="9986" width="36.83984375" customWidth="1"/>
    <col min="9987" max="9987" width="7.83984375" customWidth="1"/>
    <col min="9988" max="9988" width="7.578125" customWidth="1"/>
    <col min="9989" max="9989" width="11" customWidth="1"/>
    <col min="9990" max="9991" width="11.578125" customWidth="1"/>
    <col min="9992" max="9992" width="7.26171875" bestFit="1" customWidth="1"/>
    <col min="9993" max="9994" width="5" bestFit="1" customWidth="1"/>
    <col min="9995" max="9995" width="17.15625" customWidth="1"/>
    <col min="9996" max="9996" width="13.68359375" customWidth="1"/>
    <col min="9997" max="9997" width="35.26171875" customWidth="1"/>
    <col min="10241" max="10241" width="11.41796875" customWidth="1"/>
    <col min="10242" max="10242" width="36.83984375" customWidth="1"/>
    <col min="10243" max="10243" width="7.83984375" customWidth="1"/>
    <col min="10244" max="10244" width="7.578125" customWidth="1"/>
    <col min="10245" max="10245" width="11" customWidth="1"/>
    <col min="10246" max="10247" width="11.578125" customWidth="1"/>
    <col min="10248" max="10248" width="7.26171875" bestFit="1" customWidth="1"/>
    <col min="10249" max="10250" width="5" bestFit="1" customWidth="1"/>
    <col min="10251" max="10251" width="17.15625" customWidth="1"/>
    <col min="10252" max="10252" width="13.68359375" customWidth="1"/>
    <col min="10253" max="10253" width="35.26171875" customWidth="1"/>
    <col min="10497" max="10497" width="11.41796875" customWidth="1"/>
    <col min="10498" max="10498" width="36.83984375" customWidth="1"/>
    <col min="10499" max="10499" width="7.83984375" customWidth="1"/>
    <col min="10500" max="10500" width="7.578125" customWidth="1"/>
    <col min="10501" max="10501" width="11" customWidth="1"/>
    <col min="10502" max="10503" width="11.578125" customWidth="1"/>
    <col min="10504" max="10504" width="7.26171875" bestFit="1" customWidth="1"/>
    <col min="10505" max="10506" width="5" bestFit="1" customWidth="1"/>
    <col min="10507" max="10507" width="17.15625" customWidth="1"/>
    <col min="10508" max="10508" width="13.68359375" customWidth="1"/>
    <col min="10509" max="10509" width="35.26171875" customWidth="1"/>
    <col min="10753" max="10753" width="11.41796875" customWidth="1"/>
    <col min="10754" max="10754" width="36.83984375" customWidth="1"/>
    <col min="10755" max="10755" width="7.83984375" customWidth="1"/>
    <col min="10756" max="10756" width="7.578125" customWidth="1"/>
    <col min="10757" max="10757" width="11" customWidth="1"/>
    <col min="10758" max="10759" width="11.578125" customWidth="1"/>
    <col min="10760" max="10760" width="7.26171875" bestFit="1" customWidth="1"/>
    <col min="10761" max="10762" width="5" bestFit="1" customWidth="1"/>
    <col min="10763" max="10763" width="17.15625" customWidth="1"/>
    <col min="10764" max="10764" width="13.68359375" customWidth="1"/>
    <col min="10765" max="10765" width="35.26171875" customWidth="1"/>
    <col min="11009" max="11009" width="11.41796875" customWidth="1"/>
    <col min="11010" max="11010" width="36.83984375" customWidth="1"/>
    <col min="11011" max="11011" width="7.83984375" customWidth="1"/>
    <col min="11012" max="11012" width="7.578125" customWidth="1"/>
    <col min="11013" max="11013" width="11" customWidth="1"/>
    <col min="11014" max="11015" width="11.578125" customWidth="1"/>
    <col min="11016" max="11016" width="7.26171875" bestFit="1" customWidth="1"/>
    <col min="11017" max="11018" width="5" bestFit="1" customWidth="1"/>
    <col min="11019" max="11019" width="17.15625" customWidth="1"/>
    <col min="11020" max="11020" width="13.68359375" customWidth="1"/>
    <col min="11021" max="11021" width="35.26171875" customWidth="1"/>
    <col min="11265" max="11265" width="11.41796875" customWidth="1"/>
    <col min="11266" max="11266" width="36.83984375" customWidth="1"/>
    <col min="11267" max="11267" width="7.83984375" customWidth="1"/>
    <col min="11268" max="11268" width="7.578125" customWidth="1"/>
    <col min="11269" max="11269" width="11" customWidth="1"/>
    <col min="11270" max="11271" width="11.578125" customWidth="1"/>
    <col min="11272" max="11272" width="7.26171875" bestFit="1" customWidth="1"/>
    <col min="11273" max="11274" width="5" bestFit="1" customWidth="1"/>
    <col min="11275" max="11275" width="17.15625" customWidth="1"/>
    <col min="11276" max="11276" width="13.68359375" customWidth="1"/>
    <col min="11277" max="11277" width="35.26171875" customWidth="1"/>
    <col min="11521" max="11521" width="11.41796875" customWidth="1"/>
    <col min="11522" max="11522" width="36.83984375" customWidth="1"/>
    <col min="11523" max="11523" width="7.83984375" customWidth="1"/>
    <col min="11524" max="11524" width="7.578125" customWidth="1"/>
    <col min="11525" max="11525" width="11" customWidth="1"/>
    <col min="11526" max="11527" width="11.578125" customWidth="1"/>
    <col min="11528" max="11528" width="7.26171875" bestFit="1" customWidth="1"/>
    <col min="11529" max="11530" width="5" bestFit="1" customWidth="1"/>
    <col min="11531" max="11531" width="17.15625" customWidth="1"/>
    <col min="11532" max="11532" width="13.68359375" customWidth="1"/>
    <col min="11533" max="11533" width="35.26171875" customWidth="1"/>
    <col min="11777" max="11777" width="11.41796875" customWidth="1"/>
    <col min="11778" max="11778" width="36.83984375" customWidth="1"/>
    <col min="11779" max="11779" width="7.83984375" customWidth="1"/>
    <col min="11780" max="11780" width="7.578125" customWidth="1"/>
    <col min="11781" max="11781" width="11" customWidth="1"/>
    <col min="11782" max="11783" width="11.578125" customWidth="1"/>
    <col min="11784" max="11784" width="7.26171875" bestFit="1" customWidth="1"/>
    <col min="11785" max="11786" width="5" bestFit="1" customWidth="1"/>
    <col min="11787" max="11787" width="17.15625" customWidth="1"/>
    <col min="11788" max="11788" width="13.68359375" customWidth="1"/>
    <col min="11789" max="11789" width="35.26171875" customWidth="1"/>
    <col min="12033" max="12033" width="11.41796875" customWidth="1"/>
    <col min="12034" max="12034" width="36.83984375" customWidth="1"/>
    <col min="12035" max="12035" width="7.83984375" customWidth="1"/>
    <col min="12036" max="12036" width="7.578125" customWidth="1"/>
    <col min="12037" max="12037" width="11" customWidth="1"/>
    <col min="12038" max="12039" width="11.578125" customWidth="1"/>
    <col min="12040" max="12040" width="7.26171875" bestFit="1" customWidth="1"/>
    <col min="12041" max="12042" width="5" bestFit="1" customWidth="1"/>
    <col min="12043" max="12043" width="17.15625" customWidth="1"/>
    <col min="12044" max="12044" width="13.68359375" customWidth="1"/>
    <col min="12045" max="12045" width="35.26171875" customWidth="1"/>
    <col min="12289" max="12289" width="11.41796875" customWidth="1"/>
    <col min="12290" max="12290" width="36.83984375" customWidth="1"/>
    <col min="12291" max="12291" width="7.83984375" customWidth="1"/>
    <col min="12292" max="12292" width="7.578125" customWidth="1"/>
    <col min="12293" max="12293" width="11" customWidth="1"/>
    <col min="12294" max="12295" width="11.578125" customWidth="1"/>
    <col min="12296" max="12296" width="7.26171875" bestFit="1" customWidth="1"/>
    <col min="12297" max="12298" width="5" bestFit="1" customWidth="1"/>
    <col min="12299" max="12299" width="17.15625" customWidth="1"/>
    <col min="12300" max="12300" width="13.68359375" customWidth="1"/>
    <col min="12301" max="12301" width="35.26171875" customWidth="1"/>
    <col min="12545" max="12545" width="11.41796875" customWidth="1"/>
    <col min="12546" max="12546" width="36.83984375" customWidth="1"/>
    <col min="12547" max="12547" width="7.83984375" customWidth="1"/>
    <col min="12548" max="12548" width="7.578125" customWidth="1"/>
    <col min="12549" max="12549" width="11" customWidth="1"/>
    <col min="12550" max="12551" width="11.578125" customWidth="1"/>
    <col min="12552" max="12552" width="7.26171875" bestFit="1" customWidth="1"/>
    <col min="12553" max="12554" width="5" bestFit="1" customWidth="1"/>
    <col min="12555" max="12555" width="17.15625" customWidth="1"/>
    <col min="12556" max="12556" width="13.68359375" customWidth="1"/>
    <col min="12557" max="12557" width="35.26171875" customWidth="1"/>
    <col min="12801" max="12801" width="11.41796875" customWidth="1"/>
    <col min="12802" max="12802" width="36.83984375" customWidth="1"/>
    <col min="12803" max="12803" width="7.83984375" customWidth="1"/>
    <col min="12804" max="12804" width="7.578125" customWidth="1"/>
    <col min="12805" max="12805" width="11" customWidth="1"/>
    <col min="12806" max="12807" width="11.578125" customWidth="1"/>
    <col min="12808" max="12808" width="7.26171875" bestFit="1" customWidth="1"/>
    <col min="12809" max="12810" width="5" bestFit="1" customWidth="1"/>
    <col min="12811" max="12811" width="17.15625" customWidth="1"/>
    <col min="12812" max="12812" width="13.68359375" customWidth="1"/>
    <col min="12813" max="12813" width="35.26171875" customWidth="1"/>
    <col min="13057" max="13057" width="11.41796875" customWidth="1"/>
    <col min="13058" max="13058" width="36.83984375" customWidth="1"/>
    <col min="13059" max="13059" width="7.83984375" customWidth="1"/>
    <col min="13060" max="13060" width="7.578125" customWidth="1"/>
    <col min="13061" max="13061" width="11" customWidth="1"/>
    <col min="13062" max="13063" width="11.578125" customWidth="1"/>
    <col min="13064" max="13064" width="7.26171875" bestFit="1" customWidth="1"/>
    <col min="13065" max="13066" width="5" bestFit="1" customWidth="1"/>
    <col min="13067" max="13067" width="17.15625" customWidth="1"/>
    <col min="13068" max="13068" width="13.68359375" customWidth="1"/>
    <col min="13069" max="13069" width="35.26171875" customWidth="1"/>
    <col min="13313" max="13313" width="11.41796875" customWidth="1"/>
    <col min="13314" max="13314" width="36.83984375" customWidth="1"/>
    <col min="13315" max="13315" width="7.83984375" customWidth="1"/>
    <col min="13316" max="13316" width="7.578125" customWidth="1"/>
    <col min="13317" max="13317" width="11" customWidth="1"/>
    <col min="13318" max="13319" width="11.578125" customWidth="1"/>
    <col min="13320" max="13320" width="7.26171875" bestFit="1" customWidth="1"/>
    <col min="13321" max="13322" width="5" bestFit="1" customWidth="1"/>
    <col min="13323" max="13323" width="17.15625" customWidth="1"/>
    <col min="13324" max="13324" width="13.68359375" customWidth="1"/>
    <col min="13325" max="13325" width="35.26171875" customWidth="1"/>
    <col min="13569" max="13569" width="11.41796875" customWidth="1"/>
    <col min="13570" max="13570" width="36.83984375" customWidth="1"/>
    <col min="13571" max="13571" width="7.83984375" customWidth="1"/>
    <col min="13572" max="13572" width="7.578125" customWidth="1"/>
    <col min="13573" max="13573" width="11" customWidth="1"/>
    <col min="13574" max="13575" width="11.578125" customWidth="1"/>
    <col min="13576" max="13576" width="7.26171875" bestFit="1" customWidth="1"/>
    <col min="13577" max="13578" width="5" bestFit="1" customWidth="1"/>
    <col min="13579" max="13579" width="17.15625" customWidth="1"/>
    <col min="13580" max="13580" width="13.68359375" customWidth="1"/>
    <col min="13581" max="13581" width="35.26171875" customWidth="1"/>
    <col min="13825" max="13825" width="11.41796875" customWidth="1"/>
    <col min="13826" max="13826" width="36.83984375" customWidth="1"/>
    <col min="13827" max="13827" width="7.83984375" customWidth="1"/>
    <col min="13828" max="13828" width="7.578125" customWidth="1"/>
    <col min="13829" max="13829" width="11" customWidth="1"/>
    <col min="13830" max="13831" width="11.578125" customWidth="1"/>
    <col min="13832" max="13832" width="7.26171875" bestFit="1" customWidth="1"/>
    <col min="13833" max="13834" width="5" bestFit="1" customWidth="1"/>
    <col min="13835" max="13835" width="17.15625" customWidth="1"/>
    <col min="13836" max="13836" width="13.68359375" customWidth="1"/>
    <col min="13837" max="13837" width="35.26171875" customWidth="1"/>
    <col min="14081" max="14081" width="11.41796875" customWidth="1"/>
    <col min="14082" max="14082" width="36.83984375" customWidth="1"/>
    <col min="14083" max="14083" width="7.83984375" customWidth="1"/>
    <col min="14084" max="14084" width="7.578125" customWidth="1"/>
    <col min="14085" max="14085" width="11" customWidth="1"/>
    <col min="14086" max="14087" width="11.578125" customWidth="1"/>
    <col min="14088" max="14088" width="7.26171875" bestFit="1" customWidth="1"/>
    <col min="14089" max="14090" width="5" bestFit="1" customWidth="1"/>
    <col min="14091" max="14091" width="17.15625" customWidth="1"/>
    <col min="14092" max="14092" width="13.68359375" customWidth="1"/>
    <col min="14093" max="14093" width="35.26171875" customWidth="1"/>
    <col min="14337" max="14337" width="11.41796875" customWidth="1"/>
    <col min="14338" max="14338" width="36.83984375" customWidth="1"/>
    <col min="14339" max="14339" width="7.83984375" customWidth="1"/>
    <col min="14340" max="14340" width="7.578125" customWidth="1"/>
    <col min="14341" max="14341" width="11" customWidth="1"/>
    <col min="14342" max="14343" width="11.578125" customWidth="1"/>
    <col min="14344" max="14344" width="7.26171875" bestFit="1" customWidth="1"/>
    <col min="14345" max="14346" width="5" bestFit="1" customWidth="1"/>
    <col min="14347" max="14347" width="17.15625" customWidth="1"/>
    <col min="14348" max="14348" width="13.68359375" customWidth="1"/>
    <col min="14349" max="14349" width="35.26171875" customWidth="1"/>
    <col min="14593" max="14593" width="11.41796875" customWidth="1"/>
    <col min="14594" max="14594" width="36.83984375" customWidth="1"/>
    <col min="14595" max="14595" width="7.83984375" customWidth="1"/>
    <col min="14596" max="14596" width="7.578125" customWidth="1"/>
    <col min="14597" max="14597" width="11" customWidth="1"/>
    <col min="14598" max="14599" width="11.578125" customWidth="1"/>
    <col min="14600" max="14600" width="7.26171875" bestFit="1" customWidth="1"/>
    <col min="14601" max="14602" width="5" bestFit="1" customWidth="1"/>
    <col min="14603" max="14603" width="17.15625" customWidth="1"/>
    <col min="14604" max="14604" width="13.68359375" customWidth="1"/>
    <col min="14605" max="14605" width="35.26171875" customWidth="1"/>
    <col min="14849" max="14849" width="11.41796875" customWidth="1"/>
    <col min="14850" max="14850" width="36.83984375" customWidth="1"/>
    <col min="14851" max="14851" width="7.83984375" customWidth="1"/>
    <col min="14852" max="14852" width="7.578125" customWidth="1"/>
    <col min="14853" max="14853" width="11" customWidth="1"/>
    <col min="14854" max="14855" width="11.578125" customWidth="1"/>
    <col min="14856" max="14856" width="7.26171875" bestFit="1" customWidth="1"/>
    <col min="14857" max="14858" width="5" bestFit="1" customWidth="1"/>
    <col min="14859" max="14859" width="17.15625" customWidth="1"/>
    <col min="14860" max="14860" width="13.68359375" customWidth="1"/>
    <col min="14861" max="14861" width="35.26171875" customWidth="1"/>
    <col min="15105" max="15105" width="11.41796875" customWidth="1"/>
    <col min="15106" max="15106" width="36.83984375" customWidth="1"/>
    <col min="15107" max="15107" width="7.83984375" customWidth="1"/>
    <col min="15108" max="15108" width="7.578125" customWidth="1"/>
    <col min="15109" max="15109" width="11" customWidth="1"/>
    <col min="15110" max="15111" width="11.578125" customWidth="1"/>
    <col min="15112" max="15112" width="7.26171875" bestFit="1" customWidth="1"/>
    <col min="15113" max="15114" width="5" bestFit="1" customWidth="1"/>
    <col min="15115" max="15115" width="17.15625" customWidth="1"/>
    <col min="15116" max="15116" width="13.68359375" customWidth="1"/>
    <col min="15117" max="15117" width="35.26171875" customWidth="1"/>
    <col min="15361" max="15361" width="11.41796875" customWidth="1"/>
    <col min="15362" max="15362" width="36.83984375" customWidth="1"/>
    <col min="15363" max="15363" width="7.83984375" customWidth="1"/>
    <col min="15364" max="15364" width="7.578125" customWidth="1"/>
    <col min="15365" max="15365" width="11" customWidth="1"/>
    <col min="15366" max="15367" width="11.578125" customWidth="1"/>
    <col min="15368" max="15368" width="7.26171875" bestFit="1" customWidth="1"/>
    <col min="15369" max="15370" width="5" bestFit="1" customWidth="1"/>
    <col min="15371" max="15371" width="17.15625" customWidth="1"/>
    <col min="15372" max="15372" width="13.68359375" customWidth="1"/>
    <col min="15373" max="15373" width="35.26171875" customWidth="1"/>
    <col min="15617" max="15617" width="11.41796875" customWidth="1"/>
    <col min="15618" max="15618" width="36.83984375" customWidth="1"/>
    <col min="15619" max="15619" width="7.83984375" customWidth="1"/>
    <col min="15620" max="15620" width="7.578125" customWidth="1"/>
    <col min="15621" max="15621" width="11" customWidth="1"/>
    <col min="15622" max="15623" width="11.578125" customWidth="1"/>
    <col min="15624" max="15624" width="7.26171875" bestFit="1" customWidth="1"/>
    <col min="15625" max="15626" width="5" bestFit="1" customWidth="1"/>
    <col min="15627" max="15627" width="17.15625" customWidth="1"/>
    <col min="15628" max="15628" width="13.68359375" customWidth="1"/>
    <col min="15629" max="15629" width="35.26171875" customWidth="1"/>
    <col min="15873" max="15873" width="11.41796875" customWidth="1"/>
    <col min="15874" max="15874" width="36.83984375" customWidth="1"/>
    <col min="15875" max="15875" width="7.83984375" customWidth="1"/>
    <col min="15876" max="15876" width="7.578125" customWidth="1"/>
    <col min="15877" max="15877" width="11" customWidth="1"/>
    <col min="15878" max="15879" width="11.578125" customWidth="1"/>
    <col min="15880" max="15880" width="7.26171875" bestFit="1" customWidth="1"/>
    <col min="15881" max="15882" width="5" bestFit="1" customWidth="1"/>
    <col min="15883" max="15883" width="17.15625" customWidth="1"/>
    <col min="15884" max="15884" width="13.68359375" customWidth="1"/>
    <col min="15885" max="15885" width="35.26171875" customWidth="1"/>
    <col min="16129" max="16129" width="11.41796875" customWidth="1"/>
    <col min="16130" max="16130" width="36.83984375" customWidth="1"/>
    <col min="16131" max="16131" width="7.83984375" customWidth="1"/>
    <col min="16132" max="16132" width="7.578125" customWidth="1"/>
    <col min="16133" max="16133" width="11" customWidth="1"/>
    <col min="16134" max="16135" width="11.578125" customWidth="1"/>
    <col min="16136" max="16136" width="7.26171875" bestFit="1" customWidth="1"/>
    <col min="16137" max="16138" width="5" bestFit="1" customWidth="1"/>
    <col min="16139" max="16139" width="17.15625" customWidth="1"/>
    <col min="16140" max="16140" width="13.68359375" customWidth="1"/>
    <col min="16141" max="16141" width="35.26171875" customWidth="1"/>
  </cols>
  <sheetData>
    <row r="1" spans="1:13" ht="17.399999999999999" x14ac:dyDescent="0.65">
      <c r="A1" s="66" t="s">
        <v>61</v>
      </c>
      <c r="M1" s="67" t="s">
        <v>62</v>
      </c>
    </row>
    <row r="2" spans="1:13" x14ac:dyDescent="0.55000000000000004">
      <c r="M2" s="69" t="s">
        <v>63</v>
      </c>
    </row>
    <row r="3" spans="1:13" x14ac:dyDescent="0.55000000000000004">
      <c r="A3" s="70" t="s">
        <v>64</v>
      </c>
    </row>
    <row r="5" spans="1:13" ht="57" customHeight="1" x14ac:dyDescent="0.55000000000000004">
      <c r="A5" s="71" t="s">
        <v>65</v>
      </c>
      <c r="B5" s="72" t="s">
        <v>66</v>
      </c>
      <c r="C5" s="72"/>
      <c r="D5" s="72"/>
      <c r="E5" s="72" t="s">
        <v>67</v>
      </c>
      <c r="F5" s="72" t="s">
        <v>68</v>
      </c>
      <c r="G5" s="72" t="s">
        <v>69</v>
      </c>
      <c r="H5" s="72" t="s">
        <v>70</v>
      </c>
      <c r="I5" s="72" t="s">
        <v>71</v>
      </c>
      <c r="J5" s="72" t="s">
        <v>72</v>
      </c>
      <c r="K5" s="72" t="s">
        <v>73</v>
      </c>
      <c r="L5" s="72" t="s">
        <v>74</v>
      </c>
      <c r="M5" s="72" t="s">
        <v>75</v>
      </c>
    </row>
    <row r="6" spans="1:13" x14ac:dyDescent="0.55000000000000004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x14ac:dyDescent="0.55000000000000004">
      <c r="A7" s="73" t="s">
        <v>76</v>
      </c>
      <c r="B7" s="74" t="s">
        <v>77</v>
      </c>
      <c r="C7" s="74" t="s">
        <v>11</v>
      </c>
      <c r="D7" s="74"/>
      <c r="E7" s="74"/>
      <c r="F7" s="74"/>
      <c r="G7" s="74"/>
      <c r="H7" s="74" t="s">
        <v>78</v>
      </c>
      <c r="I7" s="75"/>
      <c r="J7" s="75"/>
      <c r="K7" s="75"/>
      <c r="L7" s="75"/>
      <c r="M7" s="75"/>
    </row>
    <row r="8" spans="1:13" x14ac:dyDescent="0.55000000000000004">
      <c r="A8" s="73" t="s">
        <v>79</v>
      </c>
      <c r="B8" s="74" t="s">
        <v>80</v>
      </c>
      <c r="C8" s="74"/>
      <c r="D8" s="74"/>
      <c r="E8" s="74"/>
      <c r="F8" s="74"/>
      <c r="G8" s="74"/>
      <c r="H8" s="74" t="s">
        <v>78</v>
      </c>
      <c r="I8" s="75"/>
      <c r="J8" s="75"/>
      <c r="K8" s="75"/>
      <c r="L8" s="75"/>
      <c r="M8" s="75"/>
    </row>
    <row r="9" spans="1:13" x14ac:dyDescent="0.55000000000000004">
      <c r="A9" s="76" t="s">
        <v>81</v>
      </c>
      <c r="B9" s="74" t="s">
        <v>82</v>
      </c>
      <c r="C9" s="74"/>
      <c r="D9" s="74"/>
      <c r="E9" s="74"/>
      <c r="F9" s="74"/>
      <c r="G9" s="74"/>
      <c r="H9" s="77" t="s">
        <v>83</v>
      </c>
      <c r="I9" s="75"/>
      <c r="J9" s="75"/>
      <c r="K9" s="75"/>
      <c r="L9" s="75"/>
      <c r="M9" s="75"/>
    </row>
    <row r="10" spans="1:13" x14ac:dyDescent="0.55000000000000004">
      <c r="A10" s="76" t="s">
        <v>84</v>
      </c>
      <c r="B10" s="74" t="s">
        <v>85</v>
      </c>
      <c r="C10" s="74"/>
      <c r="D10" s="74"/>
      <c r="E10" s="74"/>
      <c r="F10" s="74"/>
      <c r="G10" s="74"/>
      <c r="H10" s="77" t="s">
        <v>83</v>
      </c>
      <c r="I10" s="75"/>
      <c r="J10" s="75"/>
      <c r="K10" s="75"/>
      <c r="L10" s="75"/>
      <c r="M10" s="75"/>
    </row>
    <row r="11" spans="1:13" ht="16.5" customHeight="1" x14ac:dyDescent="0.55000000000000004">
      <c r="A11" s="78" t="s">
        <v>86</v>
      </c>
      <c r="B11" s="74" t="s">
        <v>87</v>
      </c>
      <c r="C11" s="74">
        <v>11</v>
      </c>
      <c r="D11" s="74"/>
      <c r="E11" s="74" t="s">
        <v>88</v>
      </c>
      <c r="F11" s="74" t="s">
        <v>89</v>
      </c>
      <c r="G11" s="74" t="s">
        <v>90</v>
      </c>
      <c r="H11" s="77" t="s">
        <v>83</v>
      </c>
      <c r="I11" s="75" t="s">
        <v>91</v>
      </c>
      <c r="J11" s="75">
        <v>15</v>
      </c>
      <c r="K11" s="75" t="s">
        <v>92</v>
      </c>
      <c r="L11" s="75" t="s">
        <v>93</v>
      </c>
      <c r="M11" s="75"/>
    </row>
    <row r="12" spans="1:13" ht="16.5" customHeight="1" x14ac:dyDescent="0.55000000000000004">
      <c r="A12" s="76" t="s">
        <v>94</v>
      </c>
      <c r="B12" s="74" t="s">
        <v>95</v>
      </c>
      <c r="C12" s="74"/>
      <c r="D12" s="74"/>
      <c r="E12" s="74"/>
      <c r="F12" s="74" t="s">
        <v>89</v>
      </c>
      <c r="G12" s="74" t="s">
        <v>96</v>
      </c>
      <c r="H12" s="77" t="s">
        <v>83</v>
      </c>
      <c r="I12" s="75" t="s">
        <v>91</v>
      </c>
      <c r="J12" s="75"/>
      <c r="K12" s="75"/>
      <c r="L12" s="75" t="s">
        <v>93</v>
      </c>
      <c r="M12" s="75"/>
    </row>
    <row r="13" spans="1:13" ht="16.5" customHeight="1" x14ac:dyDescent="0.55000000000000004">
      <c r="A13" s="78" t="s">
        <v>97</v>
      </c>
      <c r="B13" s="74" t="s">
        <v>98</v>
      </c>
      <c r="C13" s="74">
        <v>11</v>
      </c>
      <c r="D13" s="74"/>
      <c r="E13" s="74" t="s">
        <v>88</v>
      </c>
      <c r="F13" s="74" t="s">
        <v>99</v>
      </c>
      <c r="G13" s="74" t="s">
        <v>100</v>
      </c>
      <c r="H13" s="74" t="s">
        <v>78</v>
      </c>
      <c r="I13" s="75" t="s">
        <v>101</v>
      </c>
      <c r="J13" s="75">
        <v>18</v>
      </c>
      <c r="K13" s="75">
        <v>131072</v>
      </c>
      <c r="L13" s="75" t="s">
        <v>102</v>
      </c>
      <c r="M13" s="75"/>
    </row>
    <row r="14" spans="1:13" x14ac:dyDescent="0.55000000000000004">
      <c r="A14" s="73" t="s">
        <v>103</v>
      </c>
      <c r="B14" s="74" t="s">
        <v>104</v>
      </c>
      <c r="C14" s="74"/>
      <c r="D14" s="74"/>
      <c r="E14" s="74"/>
      <c r="F14" s="74"/>
      <c r="G14" s="74"/>
      <c r="H14" s="74" t="s">
        <v>78</v>
      </c>
      <c r="I14" s="75"/>
      <c r="J14" s="75"/>
      <c r="K14" s="75"/>
      <c r="L14" s="75"/>
      <c r="M14" s="75"/>
    </row>
    <row r="15" spans="1:13" x14ac:dyDescent="0.55000000000000004">
      <c r="A15" s="73">
        <v>100</v>
      </c>
      <c r="B15" s="74" t="s">
        <v>82</v>
      </c>
      <c r="C15" s="74"/>
      <c r="D15" s="74"/>
      <c r="E15" s="74"/>
      <c r="F15" s="74"/>
      <c r="G15" s="74" t="s">
        <v>90</v>
      </c>
      <c r="H15" s="75" t="s">
        <v>78</v>
      </c>
      <c r="I15" s="75"/>
      <c r="J15" s="75"/>
      <c r="K15" s="75"/>
      <c r="L15" s="75"/>
      <c r="M15" s="75"/>
    </row>
    <row r="16" spans="1:13" x14ac:dyDescent="0.55000000000000004">
      <c r="A16" s="73" t="s">
        <v>105</v>
      </c>
      <c r="B16" s="79" t="s">
        <v>106</v>
      </c>
      <c r="C16" s="74"/>
      <c r="D16" s="74"/>
      <c r="E16" s="74" t="s">
        <v>88</v>
      </c>
      <c r="F16" s="74"/>
      <c r="G16" s="74"/>
      <c r="H16" s="75"/>
      <c r="I16" s="75"/>
      <c r="J16" s="75"/>
      <c r="K16" s="75"/>
      <c r="L16" s="75"/>
      <c r="M16" s="75"/>
    </row>
    <row r="17" spans="1:13" x14ac:dyDescent="0.55000000000000004">
      <c r="A17" s="73" t="s">
        <v>107</v>
      </c>
      <c r="B17" s="74" t="s">
        <v>108</v>
      </c>
      <c r="C17" s="74"/>
      <c r="D17" s="74"/>
      <c r="E17" s="74"/>
      <c r="F17" s="74"/>
      <c r="G17" s="74"/>
      <c r="H17" s="74" t="s">
        <v>78</v>
      </c>
      <c r="I17" s="74" t="s">
        <v>109</v>
      </c>
      <c r="J17" s="75" t="s">
        <v>110</v>
      </c>
      <c r="K17" s="75"/>
      <c r="L17" s="75"/>
      <c r="M17" s="74" t="s">
        <v>111</v>
      </c>
    </row>
    <row r="18" spans="1:13" x14ac:dyDescent="0.55000000000000004">
      <c r="A18" s="73" t="s">
        <v>112</v>
      </c>
      <c r="B18" s="74" t="s">
        <v>113</v>
      </c>
      <c r="C18" s="74"/>
      <c r="D18" s="74"/>
      <c r="E18" s="74"/>
      <c r="F18" s="74"/>
      <c r="G18" s="74"/>
      <c r="H18" s="74" t="s">
        <v>78</v>
      </c>
      <c r="I18" s="74" t="s">
        <v>114</v>
      </c>
      <c r="J18" s="75" t="s">
        <v>115</v>
      </c>
      <c r="K18" s="75"/>
      <c r="L18" s="75"/>
      <c r="M18" s="74" t="s">
        <v>116</v>
      </c>
    </row>
    <row r="19" spans="1:13" x14ac:dyDescent="0.55000000000000004">
      <c r="A19" s="73" t="s">
        <v>117</v>
      </c>
      <c r="B19" s="74" t="s">
        <v>118</v>
      </c>
      <c r="C19" s="74"/>
      <c r="D19" s="74" t="s">
        <v>119</v>
      </c>
      <c r="E19" s="74"/>
      <c r="F19" s="74"/>
      <c r="G19" s="74"/>
      <c r="H19" s="75"/>
      <c r="I19" s="75"/>
      <c r="J19" s="75"/>
      <c r="K19" s="75"/>
      <c r="L19" s="75"/>
      <c r="M19" s="75"/>
    </row>
    <row r="20" spans="1:13" ht="16.5" customHeight="1" x14ac:dyDescent="0.55000000000000004">
      <c r="A20" s="80">
        <v>110</v>
      </c>
      <c r="B20" s="74" t="s">
        <v>120</v>
      </c>
      <c r="C20" s="74">
        <v>11</v>
      </c>
      <c r="D20" s="74"/>
      <c r="E20" s="74"/>
      <c r="F20" s="74" t="s">
        <v>121</v>
      </c>
      <c r="G20" s="74" t="s">
        <v>122</v>
      </c>
      <c r="H20" s="75" t="s">
        <v>78</v>
      </c>
      <c r="I20" s="75" t="s">
        <v>101</v>
      </c>
      <c r="J20" s="75">
        <v>18</v>
      </c>
      <c r="K20" s="75" t="s">
        <v>123</v>
      </c>
      <c r="L20" s="75" t="s">
        <v>124</v>
      </c>
      <c r="M20" s="75" t="s">
        <v>125</v>
      </c>
    </row>
    <row r="21" spans="1:13" ht="16.5" customHeight="1" x14ac:dyDescent="0.55000000000000004">
      <c r="A21" s="73">
        <v>110</v>
      </c>
      <c r="B21" s="74" t="s">
        <v>85</v>
      </c>
      <c r="C21" s="74"/>
      <c r="D21" s="74"/>
      <c r="E21" s="74"/>
      <c r="F21" s="74"/>
      <c r="G21" s="74" t="s">
        <v>90</v>
      </c>
      <c r="H21" s="75" t="s">
        <v>78</v>
      </c>
      <c r="I21" s="75"/>
      <c r="J21" s="75"/>
      <c r="K21" s="75"/>
      <c r="L21" s="75"/>
      <c r="M21" s="75"/>
    </row>
    <row r="22" spans="1:13" ht="16.5" customHeight="1" x14ac:dyDescent="0.55000000000000004">
      <c r="A22" s="80">
        <v>111</v>
      </c>
      <c r="B22" s="74" t="s">
        <v>126</v>
      </c>
      <c r="C22" s="74">
        <v>11</v>
      </c>
      <c r="D22" s="74"/>
      <c r="E22" s="74"/>
      <c r="F22" s="74" t="s">
        <v>121</v>
      </c>
      <c r="G22" s="74" t="s">
        <v>122</v>
      </c>
      <c r="H22" s="75" t="s">
        <v>78</v>
      </c>
      <c r="I22" s="75" t="s">
        <v>101</v>
      </c>
      <c r="J22" s="75">
        <v>18</v>
      </c>
      <c r="K22" s="75" t="s">
        <v>123</v>
      </c>
      <c r="L22" s="75" t="s">
        <v>124</v>
      </c>
      <c r="M22" s="75" t="s">
        <v>127</v>
      </c>
    </row>
    <row r="23" spans="1:13" x14ac:dyDescent="0.55000000000000004">
      <c r="A23" s="73" t="s">
        <v>128</v>
      </c>
      <c r="B23" s="74" t="s">
        <v>129</v>
      </c>
      <c r="C23" s="74"/>
      <c r="D23" s="74"/>
      <c r="E23" s="74"/>
      <c r="F23" s="74"/>
      <c r="G23" s="74"/>
      <c r="H23" s="74" t="s">
        <v>78</v>
      </c>
      <c r="I23" s="74" t="s">
        <v>109</v>
      </c>
      <c r="J23" s="75" t="s">
        <v>115</v>
      </c>
      <c r="K23" s="75"/>
      <c r="L23" s="75"/>
      <c r="M23" s="74" t="s">
        <v>130</v>
      </c>
    </row>
    <row r="24" spans="1:13" x14ac:dyDescent="0.55000000000000004">
      <c r="A24" s="73" t="s">
        <v>131</v>
      </c>
      <c r="B24" s="74" t="s">
        <v>132</v>
      </c>
      <c r="C24" s="74"/>
      <c r="D24" s="74"/>
      <c r="E24" s="74"/>
      <c r="F24" s="74"/>
      <c r="G24" s="74"/>
      <c r="H24" s="75"/>
      <c r="I24" s="75"/>
      <c r="J24" s="75"/>
      <c r="K24" s="75"/>
      <c r="L24" s="75"/>
      <c r="M24" s="75"/>
    </row>
    <row r="25" spans="1:13" x14ac:dyDescent="0.55000000000000004">
      <c r="A25" s="73" t="s">
        <v>133</v>
      </c>
      <c r="B25" s="74" t="s">
        <v>134</v>
      </c>
      <c r="C25" s="74"/>
      <c r="D25" s="74"/>
      <c r="E25" s="74"/>
      <c r="F25" s="74"/>
      <c r="G25" s="74"/>
      <c r="H25" s="75"/>
      <c r="I25" s="75"/>
      <c r="J25" s="75"/>
      <c r="K25" s="75"/>
      <c r="L25" s="75"/>
      <c r="M25" s="75"/>
    </row>
    <row r="26" spans="1:13" x14ac:dyDescent="0.55000000000000004">
      <c r="A26" s="80">
        <v>120</v>
      </c>
      <c r="B26" s="74" t="s">
        <v>135</v>
      </c>
      <c r="C26" s="74">
        <v>11</v>
      </c>
      <c r="D26" s="74"/>
      <c r="E26" s="74"/>
      <c r="F26" s="74" t="s">
        <v>121</v>
      </c>
      <c r="G26" s="74" t="s">
        <v>122</v>
      </c>
      <c r="H26" s="75" t="s">
        <v>78</v>
      </c>
      <c r="I26" s="75" t="s">
        <v>91</v>
      </c>
      <c r="J26" s="75">
        <v>11</v>
      </c>
      <c r="K26" s="75" t="s">
        <v>136</v>
      </c>
      <c r="L26" s="75" t="s">
        <v>124</v>
      </c>
      <c r="M26" s="75"/>
    </row>
    <row r="27" spans="1:13" x14ac:dyDescent="0.55000000000000004">
      <c r="A27" s="80">
        <v>121</v>
      </c>
      <c r="B27" s="74" t="s">
        <v>137</v>
      </c>
      <c r="C27" s="74">
        <v>11</v>
      </c>
      <c r="D27" s="74"/>
      <c r="E27" s="74"/>
      <c r="F27" s="74" t="s">
        <v>121</v>
      </c>
      <c r="G27" s="74" t="s">
        <v>122</v>
      </c>
      <c r="H27" s="75" t="s">
        <v>78</v>
      </c>
      <c r="I27" s="75" t="s">
        <v>91</v>
      </c>
      <c r="J27" s="75">
        <v>11</v>
      </c>
      <c r="K27" s="75" t="s">
        <v>136</v>
      </c>
      <c r="L27" s="75" t="s">
        <v>124</v>
      </c>
      <c r="M27" s="75"/>
    </row>
    <row r="28" spans="1:13" x14ac:dyDescent="0.55000000000000004">
      <c r="A28" s="73" t="s">
        <v>138</v>
      </c>
      <c r="B28" s="74" t="s">
        <v>139</v>
      </c>
      <c r="C28" s="74"/>
      <c r="D28" s="74"/>
      <c r="E28" s="74"/>
      <c r="F28" s="74"/>
      <c r="G28" s="74"/>
      <c r="H28" s="75"/>
      <c r="I28" s="75"/>
      <c r="J28" s="75"/>
      <c r="K28" s="75"/>
      <c r="L28" s="75"/>
      <c r="M28" s="75"/>
    </row>
    <row r="29" spans="1:13" x14ac:dyDescent="0.55000000000000004">
      <c r="A29" s="73" t="s">
        <v>140</v>
      </c>
      <c r="B29" s="74" t="s">
        <v>141</v>
      </c>
      <c r="C29" s="74"/>
      <c r="D29" s="74"/>
      <c r="E29" s="74"/>
      <c r="F29" s="74"/>
      <c r="G29" s="74"/>
      <c r="H29" s="75"/>
      <c r="I29" s="75"/>
      <c r="J29" s="75"/>
      <c r="K29" s="75"/>
      <c r="L29" s="75"/>
      <c r="M29" s="75"/>
    </row>
    <row r="30" spans="1:13" x14ac:dyDescent="0.55000000000000004">
      <c r="A30" s="80">
        <v>142</v>
      </c>
      <c r="B30" s="74" t="s">
        <v>142</v>
      </c>
      <c r="C30" s="74">
        <v>11</v>
      </c>
      <c r="D30" s="74"/>
      <c r="E30" s="74"/>
      <c r="F30" s="74" t="s">
        <v>143</v>
      </c>
      <c r="G30" s="74" t="s">
        <v>100</v>
      </c>
      <c r="H30" s="75" t="s">
        <v>144</v>
      </c>
      <c r="I30" s="75" t="s">
        <v>91</v>
      </c>
      <c r="J30" s="75">
        <v>15</v>
      </c>
      <c r="K30" s="75">
        <v>32768</v>
      </c>
      <c r="L30" s="75">
        <v>1</v>
      </c>
      <c r="M30" s="75"/>
    </row>
    <row r="31" spans="1:13" x14ac:dyDescent="0.55000000000000004">
      <c r="A31" s="73" t="s">
        <v>145</v>
      </c>
      <c r="B31" s="74" t="s">
        <v>146</v>
      </c>
      <c r="C31" s="74"/>
      <c r="D31" s="74"/>
      <c r="E31" s="74"/>
      <c r="F31" s="74"/>
      <c r="G31" s="74"/>
      <c r="H31" s="75"/>
      <c r="I31" s="75"/>
      <c r="J31" s="75"/>
      <c r="K31" s="75"/>
      <c r="L31" s="75"/>
      <c r="M31" s="75"/>
    </row>
    <row r="32" spans="1:13" x14ac:dyDescent="0.55000000000000004">
      <c r="A32" s="73" t="s">
        <v>147</v>
      </c>
      <c r="B32" s="74" t="s">
        <v>148</v>
      </c>
      <c r="C32" s="74"/>
      <c r="D32" s="74"/>
      <c r="E32" s="74"/>
      <c r="F32" s="74"/>
      <c r="G32" s="74"/>
      <c r="H32" s="75"/>
      <c r="I32" s="75"/>
      <c r="J32" s="75"/>
      <c r="K32" s="75"/>
      <c r="L32" s="75"/>
      <c r="M32" s="75"/>
    </row>
    <row r="33" spans="1:13" ht="18" customHeight="1" x14ac:dyDescent="0.55000000000000004">
      <c r="A33" s="81" t="s">
        <v>149</v>
      </c>
      <c r="B33" s="74" t="s">
        <v>150</v>
      </c>
      <c r="C33" s="74"/>
      <c r="D33" s="74" t="s">
        <v>151</v>
      </c>
      <c r="E33" s="74" t="s">
        <v>152</v>
      </c>
      <c r="F33" s="74" t="s">
        <v>99</v>
      </c>
      <c r="G33" s="74" t="s">
        <v>153</v>
      </c>
      <c r="H33" s="74" t="s">
        <v>78</v>
      </c>
      <c r="I33" s="75"/>
      <c r="J33" s="75"/>
      <c r="K33" s="75">
        <v>131072</v>
      </c>
      <c r="L33" s="75">
        <v>1</v>
      </c>
      <c r="M33" s="75"/>
    </row>
    <row r="34" spans="1:13" x14ac:dyDescent="0.55000000000000004">
      <c r="A34" s="80" t="s">
        <v>149</v>
      </c>
      <c r="B34" s="74" t="s">
        <v>154</v>
      </c>
      <c r="C34" s="74">
        <v>11</v>
      </c>
      <c r="D34" s="74"/>
      <c r="E34" s="74" t="s">
        <v>88</v>
      </c>
      <c r="F34" s="74" t="s">
        <v>155</v>
      </c>
      <c r="G34" s="74" t="s">
        <v>156</v>
      </c>
      <c r="H34" s="75" t="s">
        <v>78</v>
      </c>
      <c r="I34" s="75" t="s">
        <v>114</v>
      </c>
      <c r="J34" s="75">
        <v>12</v>
      </c>
      <c r="K34" s="75">
        <v>180</v>
      </c>
      <c r="L34" s="75" t="s">
        <v>157</v>
      </c>
      <c r="M34" s="75" t="s">
        <v>158</v>
      </c>
    </row>
    <row r="35" spans="1:13" x14ac:dyDescent="0.55000000000000004">
      <c r="A35" s="73" t="s">
        <v>159</v>
      </c>
      <c r="B35" s="74" t="s">
        <v>160</v>
      </c>
      <c r="C35" s="74"/>
      <c r="D35" s="74" t="s">
        <v>161</v>
      </c>
      <c r="E35" s="74"/>
      <c r="F35" s="74" t="s">
        <v>162</v>
      </c>
      <c r="G35" s="74" t="s">
        <v>156</v>
      </c>
      <c r="H35" s="75" t="s">
        <v>78</v>
      </c>
      <c r="I35" s="75" t="s">
        <v>114</v>
      </c>
      <c r="J35" s="75">
        <v>12</v>
      </c>
      <c r="K35" s="82">
        <v>0.4</v>
      </c>
      <c r="L35" s="75"/>
      <c r="M35" s="75"/>
    </row>
    <row r="36" spans="1:13" x14ac:dyDescent="0.55000000000000004">
      <c r="A36" s="73" t="s">
        <v>163</v>
      </c>
      <c r="B36" s="74" t="s">
        <v>164</v>
      </c>
      <c r="C36" s="74"/>
      <c r="D36" s="74" t="s">
        <v>165</v>
      </c>
      <c r="E36" s="74"/>
      <c r="F36" s="74" t="s">
        <v>162</v>
      </c>
      <c r="G36" s="74" t="s">
        <v>156</v>
      </c>
      <c r="H36" s="75" t="s">
        <v>78</v>
      </c>
      <c r="I36" s="75" t="s">
        <v>114</v>
      </c>
      <c r="J36" s="75">
        <v>12</v>
      </c>
      <c r="K36" s="82">
        <v>0.8</v>
      </c>
      <c r="L36" s="75"/>
      <c r="M36" s="75"/>
    </row>
    <row r="37" spans="1:13" x14ac:dyDescent="0.55000000000000004">
      <c r="A37" s="73">
        <v>201</v>
      </c>
      <c r="B37" s="79" t="s">
        <v>166</v>
      </c>
      <c r="C37" s="74"/>
      <c r="D37" s="74"/>
      <c r="E37" s="74"/>
      <c r="F37" s="74" t="s">
        <v>167</v>
      </c>
      <c r="G37" s="74" t="s">
        <v>96</v>
      </c>
      <c r="H37" s="77" t="s">
        <v>83</v>
      </c>
      <c r="I37" s="75"/>
      <c r="J37" s="75"/>
      <c r="K37" s="75"/>
      <c r="L37" s="75"/>
      <c r="M37" s="75"/>
    </row>
    <row r="38" spans="1:13" x14ac:dyDescent="0.55000000000000004">
      <c r="A38" s="80">
        <v>202</v>
      </c>
      <c r="B38" s="74" t="s">
        <v>166</v>
      </c>
      <c r="C38" s="74">
        <v>11</v>
      </c>
      <c r="D38" s="74"/>
      <c r="E38" s="74"/>
      <c r="F38" s="74" t="s">
        <v>167</v>
      </c>
      <c r="G38" s="74" t="s">
        <v>96</v>
      </c>
      <c r="H38" s="75" t="s">
        <v>78</v>
      </c>
      <c r="I38" s="75" t="s">
        <v>109</v>
      </c>
      <c r="J38" s="75">
        <v>19</v>
      </c>
      <c r="K38" s="75">
        <v>256</v>
      </c>
      <c r="L38" s="75">
        <v>9.7650000000000005E-4</v>
      </c>
      <c r="M38" s="75" t="s">
        <v>168</v>
      </c>
    </row>
    <row r="39" spans="1:13" x14ac:dyDescent="0.55000000000000004">
      <c r="A39" s="73">
        <v>203</v>
      </c>
      <c r="B39" s="74" t="s">
        <v>169</v>
      </c>
      <c r="C39" s="74"/>
      <c r="D39" s="74" t="s">
        <v>170</v>
      </c>
      <c r="E39" s="74" t="s">
        <v>171</v>
      </c>
      <c r="F39" s="74" t="s">
        <v>99</v>
      </c>
      <c r="G39" s="74" t="s">
        <v>153</v>
      </c>
      <c r="H39" s="74" t="s">
        <v>78</v>
      </c>
      <c r="I39" s="74" t="s">
        <v>114</v>
      </c>
      <c r="J39" s="75">
        <v>17</v>
      </c>
      <c r="K39" s="75">
        <v>131072</v>
      </c>
      <c r="L39" s="75">
        <v>1</v>
      </c>
      <c r="M39" s="75"/>
    </row>
    <row r="40" spans="1:13" x14ac:dyDescent="0.55000000000000004">
      <c r="A40" s="73">
        <v>204</v>
      </c>
      <c r="B40" s="74" t="s">
        <v>172</v>
      </c>
      <c r="C40" s="74"/>
      <c r="D40" s="74"/>
      <c r="E40" s="74" t="s">
        <v>171</v>
      </c>
      <c r="F40" s="74" t="s">
        <v>99</v>
      </c>
      <c r="G40" s="74" t="s">
        <v>153</v>
      </c>
      <c r="H40" s="74" t="s">
        <v>78</v>
      </c>
      <c r="I40" s="74" t="s">
        <v>114</v>
      </c>
      <c r="J40" s="75">
        <v>17</v>
      </c>
      <c r="K40" s="75">
        <v>131072</v>
      </c>
      <c r="L40" s="75">
        <v>1</v>
      </c>
      <c r="M40" s="75"/>
    </row>
    <row r="41" spans="1:13" x14ac:dyDescent="0.55000000000000004">
      <c r="A41" s="73" t="s">
        <v>173</v>
      </c>
      <c r="B41" s="74" t="s">
        <v>174</v>
      </c>
      <c r="C41" s="74"/>
      <c r="D41" s="74" t="s">
        <v>175</v>
      </c>
      <c r="E41" s="74" t="s">
        <v>171</v>
      </c>
      <c r="F41" s="74" t="s">
        <v>176</v>
      </c>
      <c r="G41" s="74" t="s">
        <v>153</v>
      </c>
      <c r="H41" s="74" t="s">
        <v>78</v>
      </c>
      <c r="I41" s="74" t="s">
        <v>109</v>
      </c>
      <c r="J41" s="75" t="s">
        <v>177</v>
      </c>
      <c r="K41" s="75">
        <v>4</v>
      </c>
      <c r="L41" s="83">
        <v>6.2500000000000001E-5</v>
      </c>
      <c r="M41" s="74" t="s">
        <v>178</v>
      </c>
    </row>
    <row r="42" spans="1:13" x14ac:dyDescent="0.55000000000000004">
      <c r="A42" s="73" t="s">
        <v>179</v>
      </c>
      <c r="B42" s="74" t="s">
        <v>180</v>
      </c>
      <c r="C42" s="74"/>
      <c r="D42" s="74" t="s">
        <v>181</v>
      </c>
      <c r="E42" s="74" t="s">
        <v>171</v>
      </c>
      <c r="F42" s="74" t="s">
        <v>182</v>
      </c>
      <c r="G42" s="74" t="s">
        <v>153</v>
      </c>
      <c r="H42" s="74" t="s">
        <v>78</v>
      </c>
      <c r="I42" s="74" t="s">
        <v>109</v>
      </c>
      <c r="J42" s="75" t="s">
        <v>177</v>
      </c>
      <c r="K42" s="75">
        <v>1024</v>
      </c>
      <c r="L42" s="75">
        <v>6.25E-2</v>
      </c>
      <c r="M42" s="74" t="s">
        <v>183</v>
      </c>
    </row>
    <row r="43" spans="1:13" x14ac:dyDescent="0.55000000000000004">
      <c r="A43" s="80" t="s">
        <v>184</v>
      </c>
      <c r="B43" s="74" t="s">
        <v>185</v>
      </c>
      <c r="C43" s="74">
        <v>11</v>
      </c>
      <c r="D43" s="74" t="s">
        <v>186</v>
      </c>
      <c r="E43" s="74" t="s">
        <v>171</v>
      </c>
      <c r="F43" s="74" t="s">
        <v>182</v>
      </c>
      <c r="G43" s="74" t="s">
        <v>153</v>
      </c>
      <c r="H43" s="74" t="s">
        <v>78</v>
      </c>
      <c r="I43" s="74" t="s">
        <v>109</v>
      </c>
      <c r="J43" s="75">
        <v>15</v>
      </c>
      <c r="K43" s="75">
        <v>4096</v>
      </c>
      <c r="L43" s="75" t="s">
        <v>187</v>
      </c>
      <c r="M43" s="74"/>
    </row>
    <row r="44" spans="1:13" x14ac:dyDescent="0.55000000000000004">
      <c r="A44" s="73">
        <v>211</v>
      </c>
      <c r="B44" s="74" t="s">
        <v>188</v>
      </c>
      <c r="C44" s="74"/>
      <c r="D44" s="74" t="s">
        <v>189</v>
      </c>
      <c r="E44" s="74" t="s">
        <v>171</v>
      </c>
      <c r="F44" s="74" t="s">
        <v>190</v>
      </c>
      <c r="G44" s="74" t="s">
        <v>122</v>
      </c>
      <c r="H44" s="74" t="s">
        <v>78</v>
      </c>
      <c r="I44" s="74"/>
      <c r="J44" s="75"/>
      <c r="K44" s="75">
        <v>512</v>
      </c>
      <c r="L44" s="75">
        <v>0.25</v>
      </c>
      <c r="M44" s="74"/>
    </row>
    <row r="45" spans="1:13" ht="17.25" customHeight="1" x14ac:dyDescent="0.55000000000000004">
      <c r="A45" s="80" t="s">
        <v>191</v>
      </c>
      <c r="B45" s="74" t="s">
        <v>192</v>
      </c>
      <c r="C45" s="74">
        <v>11</v>
      </c>
      <c r="D45" s="74" t="s">
        <v>193</v>
      </c>
      <c r="E45" s="74" t="s">
        <v>171</v>
      </c>
      <c r="F45" s="74" t="s">
        <v>194</v>
      </c>
      <c r="G45" s="74" t="s">
        <v>100</v>
      </c>
      <c r="H45" s="74" t="s">
        <v>78</v>
      </c>
      <c r="I45" s="74" t="s">
        <v>114</v>
      </c>
      <c r="J45" s="75">
        <v>17</v>
      </c>
      <c r="K45" s="75">
        <v>32768</v>
      </c>
      <c r="L45" s="75" t="s">
        <v>195</v>
      </c>
      <c r="M45" s="74"/>
    </row>
    <row r="46" spans="1:13" x14ac:dyDescent="0.55000000000000004">
      <c r="A46" s="73">
        <v>213</v>
      </c>
      <c r="B46" s="74" t="s">
        <v>196</v>
      </c>
      <c r="C46" s="74"/>
      <c r="D46" s="74" t="s">
        <v>197</v>
      </c>
      <c r="E46" s="74" t="s">
        <v>171</v>
      </c>
      <c r="F46" s="74" t="s">
        <v>190</v>
      </c>
      <c r="G46" s="74" t="s">
        <v>122</v>
      </c>
      <c r="H46" s="74" t="s">
        <v>78</v>
      </c>
      <c r="I46" s="74"/>
      <c r="J46" s="75"/>
      <c r="K46" s="75">
        <v>512</v>
      </c>
      <c r="L46" s="75"/>
      <c r="M46" s="74"/>
    </row>
    <row r="47" spans="1:13" x14ac:dyDescent="0.55000000000000004">
      <c r="A47" s="73" t="s">
        <v>198</v>
      </c>
      <c r="B47" s="74" t="s">
        <v>199</v>
      </c>
      <c r="C47" s="74"/>
      <c r="D47" s="74"/>
      <c r="E47" s="74" t="s">
        <v>88</v>
      </c>
      <c r="F47" s="74" t="s">
        <v>200</v>
      </c>
      <c r="G47" s="74" t="s">
        <v>201</v>
      </c>
      <c r="H47" s="75" t="s">
        <v>144</v>
      </c>
      <c r="I47" s="75" t="s">
        <v>101</v>
      </c>
      <c r="J47" s="75">
        <v>12</v>
      </c>
      <c r="K47" s="75">
        <v>180</v>
      </c>
      <c r="M47" s="75"/>
    </row>
    <row r="48" spans="1:13" x14ac:dyDescent="0.55000000000000004">
      <c r="A48" s="73">
        <v>235</v>
      </c>
      <c r="B48" s="74" t="s">
        <v>202</v>
      </c>
      <c r="C48" s="74"/>
      <c r="D48" s="74"/>
      <c r="E48" s="74" t="s">
        <v>171</v>
      </c>
      <c r="F48" s="74" t="s">
        <v>203</v>
      </c>
      <c r="G48" s="74" t="s">
        <v>153</v>
      </c>
      <c r="H48" s="74" t="s">
        <v>78</v>
      </c>
      <c r="I48" s="75"/>
      <c r="J48" s="75"/>
      <c r="K48" s="75">
        <v>40</v>
      </c>
      <c r="L48" s="75">
        <v>1E-3</v>
      </c>
      <c r="M48" s="75"/>
    </row>
    <row r="49" spans="1:13" x14ac:dyDescent="0.55000000000000004">
      <c r="A49" s="73">
        <v>244</v>
      </c>
      <c r="B49" s="74" t="s">
        <v>204</v>
      </c>
      <c r="C49" s="74"/>
      <c r="D49" s="74"/>
      <c r="E49" s="74" t="s">
        <v>171</v>
      </c>
      <c r="F49" s="74" t="s">
        <v>205</v>
      </c>
      <c r="G49" s="74" t="s">
        <v>153</v>
      </c>
      <c r="H49" s="74" t="s">
        <v>78</v>
      </c>
      <c r="I49" s="75"/>
      <c r="J49" s="75">
        <v>14</v>
      </c>
      <c r="K49" s="75">
        <v>32768</v>
      </c>
      <c r="L49" s="75">
        <v>0.5</v>
      </c>
      <c r="M49" s="75"/>
    </row>
    <row r="50" spans="1:13" x14ac:dyDescent="0.55000000000000004">
      <c r="A50" s="73" t="s">
        <v>206</v>
      </c>
      <c r="B50" s="74" t="s">
        <v>207</v>
      </c>
      <c r="C50" s="74"/>
      <c r="D50" s="74"/>
      <c r="E50" s="74"/>
      <c r="F50" s="74"/>
      <c r="G50" s="74"/>
      <c r="H50" s="75"/>
      <c r="I50" s="75"/>
      <c r="J50" s="75"/>
      <c r="K50" s="75"/>
      <c r="L50" s="75"/>
      <c r="M50" s="75"/>
    </row>
    <row r="51" spans="1:13" x14ac:dyDescent="0.55000000000000004">
      <c r="A51" s="73" t="s">
        <v>208</v>
      </c>
      <c r="B51" s="74" t="s">
        <v>80</v>
      </c>
      <c r="C51" s="74"/>
      <c r="D51" s="74" t="s">
        <v>209</v>
      </c>
      <c r="E51" s="74"/>
      <c r="F51" s="74"/>
      <c r="G51" s="74"/>
      <c r="H51" s="74" t="s">
        <v>78</v>
      </c>
      <c r="I51" s="74" t="s">
        <v>109</v>
      </c>
      <c r="J51" s="75" t="s">
        <v>177</v>
      </c>
      <c r="K51" s="75"/>
      <c r="L51" s="75"/>
      <c r="M51" s="74" t="s">
        <v>210</v>
      </c>
    </row>
    <row r="52" spans="1:13" x14ac:dyDescent="0.55000000000000004">
      <c r="A52" s="73" t="s">
        <v>211</v>
      </c>
      <c r="B52" s="74" t="s">
        <v>212</v>
      </c>
      <c r="C52" s="74"/>
      <c r="D52" s="74"/>
      <c r="E52" s="74"/>
      <c r="F52" s="74"/>
      <c r="G52" s="74"/>
      <c r="H52" s="74" t="s">
        <v>78</v>
      </c>
      <c r="I52" s="74" t="s">
        <v>114</v>
      </c>
      <c r="J52" s="75" t="s">
        <v>177</v>
      </c>
      <c r="K52" s="75"/>
      <c r="L52" s="75"/>
      <c r="M52" s="74" t="s">
        <v>213</v>
      </c>
    </row>
    <row r="53" spans="1:13" x14ac:dyDescent="0.55000000000000004">
      <c r="A53" s="73" t="s">
        <v>214</v>
      </c>
      <c r="B53" s="74" t="s">
        <v>215</v>
      </c>
      <c r="C53" s="74"/>
      <c r="D53" s="74"/>
      <c r="E53" s="74"/>
      <c r="F53" s="74"/>
      <c r="G53" s="74"/>
      <c r="H53" s="75"/>
      <c r="I53" s="75"/>
      <c r="J53" s="75"/>
      <c r="K53" s="75"/>
      <c r="L53" s="75"/>
      <c r="M53" s="75"/>
    </row>
    <row r="54" spans="1:13" x14ac:dyDescent="0.55000000000000004">
      <c r="A54" s="73">
        <v>315</v>
      </c>
      <c r="B54" s="74" t="s">
        <v>216</v>
      </c>
      <c r="C54" s="74"/>
      <c r="D54" s="74"/>
      <c r="E54" s="74" t="s">
        <v>171</v>
      </c>
      <c r="F54" s="74" t="s">
        <v>182</v>
      </c>
      <c r="G54" s="74" t="s">
        <v>122</v>
      </c>
      <c r="H54" s="74" t="s">
        <v>78</v>
      </c>
      <c r="I54" s="75"/>
      <c r="J54" s="75"/>
      <c r="K54" s="75">
        <v>256</v>
      </c>
      <c r="L54" s="75">
        <v>1</v>
      </c>
      <c r="M54" s="75"/>
    </row>
    <row r="55" spans="1:13" x14ac:dyDescent="0.55000000000000004">
      <c r="A55" s="73">
        <v>316</v>
      </c>
      <c r="B55" s="74" t="s">
        <v>217</v>
      </c>
      <c r="C55" s="74"/>
      <c r="D55" s="74"/>
      <c r="E55" s="74" t="s">
        <v>171</v>
      </c>
      <c r="F55" s="74" t="s">
        <v>218</v>
      </c>
      <c r="G55" s="74" t="s">
        <v>153</v>
      </c>
      <c r="H55" s="74" t="s">
        <v>78</v>
      </c>
      <c r="I55" s="75"/>
      <c r="J55" s="75"/>
      <c r="K55" s="75">
        <v>360</v>
      </c>
      <c r="L55" s="75">
        <v>0.05</v>
      </c>
      <c r="M55" s="75"/>
    </row>
    <row r="56" spans="1:13" x14ac:dyDescent="0.55000000000000004">
      <c r="A56" s="80" t="s">
        <v>219</v>
      </c>
      <c r="B56" s="79" t="s">
        <v>220</v>
      </c>
      <c r="C56" s="79">
        <v>11</v>
      </c>
      <c r="D56" s="74" t="s">
        <v>221</v>
      </c>
      <c r="E56" s="79" t="s">
        <v>171</v>
      </c>
      <c r="F56" s="74" t="s">
        <v>155</v>
      </c>
      <c r="G56" s="74" t="s">
        <v>156</v>
      </c>
      <c r="H56" s="74" t="s">
        <v>78</v>
      </c>
      <c r="I56" s="74" t="s">
        <v>114</v>
      </c>
      <c r="J56" s="75">
        <v>15</v>
      </c>
      <c r="K56" s="75">
        <v>180</v>
      </c>
      <c r="L56" s="75">
        <v>5.4999999999999997E-3</v>
      </c>
      <c r="M56" s="74"/>
    </row>
    <row r="57" spans="1:13" x14ac:dyDescent="0.55000000000000004">
      <c r="A57" s="73" t="s">
        <v>222</v>
      </c>
      <c r="B57" s="74" t="s">
        <v>223</v>
      </c>
      <c r="C57" s="74"/>
      <c r="D57" s="74"/>
      <c r="E57" s="74"/>
      <c r="F57" s="74"/>
      <c r="G57" s="74"/>
      <c r="H57" s="75"/>
      <c r="I57" s="75"/>
      <c r="J57" s="75"/>
      <c r="K57" s="75"/>
      <c r="L57" s="75"/>
      <c r="M57" s="75"/>
    </row>
    <row r="58" spans="1:13" x14ac:dyDescent="0.55000000000000004">
      <c r="A58" s="80" t="s">
        <v>224</v>
      </c>
      <c r="B58" s="74" t="s">
        <v>225</v>
      </c>
      <c r="C58" s="74">
        <v>11</v>
      </c>
      <c r="D58" s="74" t="s">
        <v>226</v>
      </c>
      <c r="E58" s="74" t="s">
        <v>88</v>
      </c>
      <c r="F58" s="74" t="s">
        <v>227</v>
      </c>
      <c r="G58" s="74" t="s">
        <v>156</v>
      </c>
      <c r="H58" s="74" t="s">
        <v>78</v>
      </c>
      <c r="I58" s="74" t="s">
        <v>114</v>
      </c>
      <c r="J58" s="75">
        <v>14</v>
      </c>
      <c r="K58" s="75">
        <v>180</v>
      </c>
      <c r="L58" s="75">
        <v>1.0999999999999999E-2</v>
      </c>
      <c r="M58" s="75"/>
    </row>
    <row r="59" spans="1:13" x14ac:dyDescent="0.55000000000000004">
      <c r="A59" s="80" t="s">
        <v>228</v>
      </c>
      <c r="B59" s="74" t="s">
        <v>229</v>
      </c>
      <c r="C59" s="74">
        <v>11</v>
      </c>
      <c r="D59" s="74" t="s">
        <v>230</v>
      </c>
      <c r="E59" s="74" t="s">
        <v>88</v>
      </c>
      <c r="F59" s="74" t="s">
        <v>227</v>
      </c>
      <c r="G59" s="74" t="s">
        <v>156</v>
      </c>
      <c r="H59" s="74" t="s">
        <v>78</v>
      </c>
      <c r="I59" s="74" t="s">
        <v>114</v>
      </c>
      <c r="J59" s="75">
        <v>14</v>
      </c>
      <c r="K59" s="75">
        <v>180</v>
      </c>
      <c r="L59" s="75">
        <v>1.0999999999999999E-2</v>
      </c>
      <c r="M59" s="74"/>
    </row>
    <row r="60" spans="1:13" x14ac:dyDescent="0.55000000000000004">
      <c r="A60" s="73" t="s">
        <v>231</v>
      </c>
      <c r="B60" s="74" t="s">
        <v>232</v>
      </c>
      <c r="C60" s="74"/>
      <c r="D60" s="74"/>
      <c r="E60" s="74"/>
      <c r="F60" s="74"/>
      <c r="G60" s="74"/>
      <c r="H60" s="74" t="s">
        <v>78</v>
      </c>
      <c r="I60" s="74" t="s">
        <v>114</v>
      </c>
      <c r="J60" s="75"/>
      <c r="K60" s="75"/>
      <c r="L60" s="75"/>
      <c r="M60" s="74" t="s">
        <v>233</v>
      </c>
    </row>
    <row r="61" spans="1:13" x14ac:dyDescent="0.55000000000000004">
      <c r="A61" s="73">
        <v>347</v>
      </c>
      <c r="B61" s="74" t="s">
        <v>234</v>
      </c>
      <c r="C61" s="74"/>
      <c r="D61" s="74"/>
      <c r="E61" s="74" t="s">
        <v>171</v>
      </c>
      <c r="F61" s="74" t="s">
        <v>205</v>
      </c>
      <c r="G61" s="74" t="s">
        <v>153</v>
      </c>
      <c r="H61" s="74" t="s">
        <v>78</v>
      </c>
      <c r="I61" s="75"/>
      <c r="J61" s="75">
        <v>14</v>
      </c>
      <c r="K61" s="75">
        <v>32768</v>
      </c>
      <c r="L61" s="75">
        <v>0.5</v>
      </c>
      <c r="M61" s="74"/>
    </row>
    <row r="62" spans="1:13" x14ac:dyDescent="0.55000000000000004">
      <c r="A62" s="73" t="s">
        <v>235</v>
      </c>
      <c r="B62" s="74" t="s">
        <v>236</v>
      </c>
      <c r="C62" s="74"/>
      <c r="D62" s="74"/>
      <c r="E62" s="74"/>
      <c r="F62" s="74"/>
      <c r="G62" s="74"/>
      <c r="H62" s="74" t="s">
        <v>78</v>
      </c>
      <c r="I62" s="74" t="s">
        <v>114</v>
      </c>
      <c r="J62" s="75" t="s">
        <v>115</v>
      </c>
      <c r="K62" s="75"/>
      <c r="L62" s="75"/>
      <c r="M62" s="74" t="s">
        <v>237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2" workbookViewId="0">
      <selection activeCell="E31" sqref="E31"/>
    </sheetView>
  </sheetViews>
  <sheetFormatPr baseColWidth="10" defaultRowHeight="14.4" x14ac:dyDescent="0.55000000000000004"/>
  <cols>
    <col min="2" max="2" width="20.41796875" customWidth="1"/>
    <col min="3" max="3" width="14.68359375" customWidth="1"/>
    <col min="4" max="4" width="23.83984375" customWidth="1"/>
    <col min="258" max="258" width="20.41796875" customWidth="1"/>
    <col min="259" max="259" width="14.68359375" customWidth="1"/>
    <col min="260" max="260" width="23.83984375" customWidth="1"/>
    <col min="514" max="514" width="20.41796875" customWidth="1"/>
    <col min="515" max="515" width="14.68359375" customWidth="1"/>
    <col min="516" max="516" width="23.83984375" customWidth="1"/>
    <col min="770" max="770" width="20.41796875" customWidth="1"/>
    <col min="771" max="771" width="14.68359375" customWidth="1"/>
    <col min="772" max="772" width="23.83984375" customWidth="1"/>
    <col min="1026" max="1026" width="20.41796875" customWidth="1"/>
    <col min="1027" max="1027" width="14.68359375" customWidth="1"/>
    <col min="1028" max="1028" width="23.83984375" customWidth="1"/>
    <col min="1282" max="1282" width="20.41796875" customWidth="1"/>
    <col min="1283" max="1283" width="14.68359375" customWidth="1"/>
    <col min="1284" max="1284" width="23.83984375" customWidth="1"/>
    <col min="1538" max="1538" width="20.41796875" customWidth="1"/>
    <col min="1539" max="1539" width="14.68359375" customWidth="1"/>
    <col min="1540" max="1540" width="23.83984375" customWidth="1"/>
    <col min="1794" max="1794" width="20.41796875" customWidth="1"/>
    <col min="1795" max="1795" width="14.68359375" customWidth="1"/>
    <col min="1796" max="1796" width="23.83984375" customWidth="1"/>
    <col min="2050" max="2050" width="20.41796875" customWidth="1"/>
    <col min="2051" max="2051" width="14.68359375" customWidth="1"/>
    <col min="2052" max="2052" width="23.83984375" customWidth="1"/>
    <col min="2306" max="2306" width="20.41796875" customWidth="1"/>
    <col min="2307" max="2307" width="14.68359375" customWidth="1"/>
    <col min="2308" max="2308" width="23.83984375" customWidth="1"/>
    <col min="2562" max="2562" width="20.41796875" customWidth="1"/>
    <col min="2563" max="2563" width="14.68359375" customWidth="1"/>
    <col min="2564" max="2564" width="23.83984375" customWidth="1"/>
    <col min="2818" max="2818" width="20.41796875" customWidth="1"/>
    <col min="2819" max="2819" width="14.68359375" customWidth="1"/>
    <col min="2820" max="2820" width="23.83984375" customWidth="1"/>
    <col min="3074" max="3074" width="20.41796875" customWidth="1"/>
    <col min="3075" max="3075" width="14.68359375" customWidth="1"/>
    <col min="3076" max="3076" width="23.83984375" customWidth="1"/>
    <col min="3330" max="3330" width="20.41796875" customWidth="1"/>
    <col min="3331" max="3331" width="14.68359375" customWidth="1"/>
    <col min="3332" max="3332" width="23.83984375" customWidth="1"/>
    <col min="3586" max="3586" width="20.41796875" customWidth="1"/>
    <col min="3587" max="3587" width="14.68359375" customWidth="1"/>
    <col min="3588" max="3588" width="23.83984375" customWidth="1"/>
    <col min="3842" max="3842" width="20.41796875" customWidth="1"/>
    <col min="3843" max="3843" width="14.68359375" customWidth="1"/>
    <col min="3844" max="3844" width="23.83984375" customWidth="1"/>
    <col min="4098" max="4098" width="20.41796875" customWidth="1"/>
    <col min="4099" max="4099" width="14.68359375" customWidth="1"/>
    <col min="4100" max="4100" width="23.83984375" customWidth="1"/>
    <col min="4354" max="4354" width="20.41796875" customWidth="1"/>
    <col min="4355" max="4355" width="14.68359375" customWidth="1"/>
    <col min="4356" max="4356" width="23.83984375" customWidth="1"/>
    <col min="4610" max="4610" width="20.41796875" customWidth="1"/>
    <col min="4611" max="4611" width="14.68359375" customWidth="1"/>
    <col min="4612" max="4612" width="23.83984375" customWidth="1"/>
    <col min="4866" max="4866" width="20.41796875" customWidth="1"/>
    <col min="4867" max="4867" width="14.68359375" customWidth="1"/>
    <col min="4868" max="4868" width="23.83984375" customWidth="1"/>
    <col min="5122" max="5122" width="20.41796875" customWidth="1"/>
    <col min="5123" max="5123" width="14.68359375" customWidth="1"/>
    <col min="5124" max="5124" width="23.83984375" customWidth="1"/>
    <col min="5378" max="5378" width="20.41796875" customWidth="1"/>
    <col min="5379" max="5379" width="14.68359375" customWidth="1"/>
    <col min="5380" max="5380" width="23.83984375" customWidth="1"/>
    <col min="5634" max="5634" width="20.41796875" customWidth="1"/>
    <col min="5635" max="5635" width="14.68359375" customWidth="1"/>
    <col min="5636" max="5636" width="23.83984375" customWidth="1"/>
    <col min="5890" max="5890" width="20.41796875" customWidth="1"/>
    <col min="5891" max="5891" width="14.68359375" customWidth="1"/>
    <col min="5892" max="5892" width="23.83984375" customWidth="1"/>
    <col min="6146" max="6146" width="20.41796875" customWidth="1"/>
    <col min="6147" max="6147" width="14.68359375" customWidth="1"/>
    <col min="6148" max="6148" width="23.83984375" customWidth="1"/>
    <col min="6402" max="6402" width="20.41796875" customWidth="1"/>
    <col min="6403" max="6403" width="14.68359375" customWidth="1"/>
    <col min="6404" max="6404" width="23.83984375" customWidth="1"/>
    <col min="6658" max="6658" width="20.41796875" customWidth="1"/>
    <col min="6659" max="6659" width="14.68359375" customWidth="1"/>
    <col min="6660" max="6660" width="23.83984375" customWidth="1"/>
    <col min="6914" max="6914" width="20.41796875" customWidth="1"/>
    <col min="6915" max="6915" width="14.68359375" customWidth="1"/>
    <col min="6916" max="6916" width="23.83984375" customWidth="1"/>
    <col min="7170" max="7170" width="20.41796875" customWidth="1"/>
    <col min="7171" max="7171" width="14.68359375" customWidth="1"/>
    <col min="7172" max="7172" width="23.83984375" customWidth="1"/>
    <col min="7426" max="7426" width="20.41796875" customWidth="1"/>
    <col min="7427" max="7427" width="14.68359375" customWidth="1"/>
    <col min="7428" max="7428" width="23.83984375" customWidth="1"/>
    <col min="7682" max="7682" width="20.41796875" customWidth="1"/>
    <col min="7683" max="7683" width="14.68359375" customWidth="1"/>
    <col min="7684" max="7684" width="23.83984375" customWidth="1"/>
    <col min="7938" max="7938" width="20.41796875" customWidth="1"/>
    <col min="7939" max="7939" width="14.68359375" customWidth="1"/>
    <col min="7940" max="7940" width="23.83984375" customWidth="1"/>
    <col min="8194" max="8194" width="20.41796875" customWidth="1"/>
    <col min="8195" max="8195" width="14.68359375" customWidth="1"/>
    <col min="8196" max="8196" width="23.83984375" customWidth="1"/>
    <col min="8450" max="8450" width="20.41796875" customWidth="1"/>
    <col min="8451" max="8451" width="14.68359375" customWidth="1"/>
    <col min="8452" max="8452" width="23.83984375" customWidth="1"/>
    <col min="8706" max="8706" width="20.41796875" customWidth="1"/>
    <col min="8707" max="8707" width="14.68359375" customWidth="1"/>
    <col min="8708" max="8708" width="23.83984375" customWidth="1"/>
    <col min="8962" max="8962" width="20.41796875" customWidth="1"/>
    <col min="8963" max="8963" width="14.68359375" customWidth="1"/>
    <col min="8964" max="8964" width="23.83984375" customWidth="1"/>
    <col min="9218" max="9218" width="20.41796875" customWidth="1"/>
    <col min="9219" max="9219" width="14.68359375" customWidth="1"/>
    <col min="9220" max="9220" width="23.83984375" customWidth="1"/>
    <col min="9474" max="9474" width="20.41796875" customWidth="1"/>
    <col min="9475" max="9475" width="14.68359375" customWidth="1"/>
    <col min="9476" max="9476" width="23.83984375" customWidth="1"/>
    <col min="9730" max="9730" width="20.41796875" customWidth="1"/>
    <col min="9731" max="9731" width="14.68359375" customWidth="1"/>
    <col min="9732" max="9732" width="23.83984375" customWidth="1"/>
    <col min="9986" max="9986" width="20.41796875" customWidth="1"/>
    <col min="9987" max="9987" width="14.68359375" customWidth="1"/>
    <col min="9988" max="9988" width="23.83984375" customWidth="1"/>
    <col min="10242" max="10242" width="20.41796875" customWidth="1"/>
    <col min="10243" max="10243" width="14.68359375" customWidth="1"/>
    <col min="10244" max="10244" width="23.83984375" customWidth="1"/>
    <col min="10498" max="10498" width="20.41796875" customWidth="1"/>
    <col min="10499" max="10499" width="14.68359375" customWidth="1"/>
    <col min="10500" max="10500" width="23.83984375" customWidth="1"/>
    <col min="10754" max="10754" width="20.41796875" customWidth="1"/>
    <col min="10755" max="10755" width="14.68359375" customWidth="1"/>
    <col min="10756" max="10756" width="23.83984375" customWidth="1"/>
    <col min="11010" max="11010" width="20.41796875" customWidth="1"/>
    <col min="11011" max="11011" width="14.68359375" customWidth="1"/>
    <col min="11012" max="11012" width="23.83984375" customWidth="1"/>
    <col min="11266" max="11266" width="20.41796875" customWidth="1"/>
    <col min="11267" max="11267" width="14.68359375" customWidth="1"/>
    <col min="11268" max="11268" width="23.83984375" customWidth="1"/>
    <col min="11522" max="11522" width="20.41796875" customWidth="1"/>
    <col min="11523" max="11523" width="14.68359375" customWidth="1"/>
    <col min="11524" max="11524" width="23.83984375" customWidth="1"/>
    <col min="11778" max="11778" width="20.41796875" customWidth="1"/>
    <col min="11779" max="11779" width="14.68359375" customWidth="1"/>
    <col min="11780" max="11780" width="23.83984375" customWidth="1"/>
    <col min="12034" max="12034" width="20.41796875" customWidth="1"/>
    <col min="12035" max="12035" width="14.68359375" customWidth="1"/>
    <col min="12036" max="12036" width="23.83984375" customWidth="1"/>
    <col min="12290" max="12290" width="20.41796875" customWidth="1"/>
    <col min="12291" max="12291" width="14.68359375" customWidth="1"/>
    <col min="12292" max="12292" width="23.83984375" customWidth="1"/>
    <col min="12546" max="12546" width="20.41796875" customWidth="1"/>
    <col min="12547" max="12547" width="14.68359375" customWidth="1"/>
    <col min="12548" max="12548" width="23.83984375" customWidth="1"/>
    <col min="12802" max="12802" width="20.41796875" customWidth="1"/>
    <col min="12803" max="12803" width="14.68359375" customWidth="1"/>
    <col min="12804" max="12804" width="23.83984375" customWidth="1"/>
    <col min="13058" max="13058" width="20.41796875" customWidth="1"/>
    <col min="13059" max="13059" width="14.68359375" customWidth="1"/>
    <col min="13060" max="13060" width="23.83984375" customWidth="1"/>
    <col min="13314" max="13314" width="20.41796875" customWidth="1"/>
    <col min="13315" max="13315" width="14.68359375" customWidth="1"/>
    <col min="13316" max="13316" width="23.83984375" customWidth="1"/>
    <col min="13570" max="13570" width="20.41796875" customWidth="1"/>
    <col min="13571" max="13571" width="14.68359375" customWidth="1"/>
    <col min="13572" max="13572" width="23.83984375" customWidth="1"/>
    <col min="13826" max="13826" width="20.41796875" customWidth="1"/>
    <col min="13827" max="13827" width="14.68359375" customWidth="1"/>
    <col min="13828" max="13828" width="23.83984375" customWidth="1"/>
    <col min="14082" max="14082" width="20.41796875" customWidth="1"/>
    <col min="14083" max="14083" width="14.68359375" customWidth="1"/>
    <col min="14084" max="14084" width="23.83984375" customWidth="1"/>
    <col min="14338" max="14338" width="20.41796875" customWidth="1"/>
    <col min="14339" max="14339" width="14.68359375" customWidth="1"/>
    <col min="14340" max="14340" width="23.83984375" customWidth="1"/>
    <col min="14594" max="14594" width="20.41796875" customWidth="1"/>
    <col min="14595" max="14595" width="14.68359375" customWidth="1"/>
    <col min="14596" max="14596" width="23.83984375" customWidth="1"/>
    <col min="14850" max="14850" width="20.41796875" customWidth="1"/>
    <col min="14851" max="14851" width="14.68359375" customWidth="1"/>
    <col min="14852" max="14852" width="23.83984375" customWidth="1"/>
    <col min="15106" max="15106" width="20.41796875" customWidth="1"/>
    <col min="15107" max="15107" width="14.68359375" customWidth="1"/>
    <col min="15108" max="15108" width="23.83984375" customWidth="1"/>
    <col min="15362" max="15362" width="20.41796875" customWidth="1"/>
    <col min="15363" max="15363" width="14.68359375" customWidth="1"/>
    <col min="15364" max="15364" width="23.83984375" customWidth="1"/>
    <col min="15618" max="15618" width="20.41796875" customWidth="1"/>
    <col min="15619" max="15619" width="14.68359375" customWidth="1"/>
    <col min="15620" max="15620" width="23.83984375" customWidth="1"/>
    <col min="15874" max="15874" width="20.41796875" customWidth="1"/>
    <col min="15875" max="15875" width="14.68359375" customWidth="1"/>
    <col min="15876" max="15876" width="23.83984375" customWidth="1"/>
    <col min="16130" max="16130" width="20.41796875" customWidth="1"/>
    <col min="16131" max="16131" width="14.68359375" customWidth="1"/>
    <col min="16132" max="16132" width="23.83984375" customWidth="1"/>
  </cols>
  <sheetData>
    <row r="1" spans="1:4" ht="25.5" x14ac:dyDescent="0.85">
      <c r="A1" s="84" t="s">
        <v>238</v>
      </c>
    </row>
    <row r="2" spans="1:4" ht="25.5" x14ac:dyDescent="0.85">
      <c r="A2" s="84" t="s">
        <v>239</v>
      </c>
    </row>
    <row r="3" spans="1:4" ht="15.3" x14ac:dyDescent="0.55000000000000004">
      <c r="B3" s="85" t="s">
        <v>240</v>
      </c>
      <c r="C3" s="86" t="s">
        <v>241</v>
      </c>
    </row>
    <row r="4" spans="1:4" ht="15.3" x14ac:dyDescent="0.55000000000000004">
      <c r="C4" s="86" t="s">
        <v>242</v>
      </c>
    </row>
    <row r="5" spans="1:4" ht="15.6" thickBot="1" x14ac:dyDescent="0.6">
      <c r="B5" s="87"/>
    </row>
    <row r="6" spans="1:4" ht="15.6" thickBot="1" x14ac:dyDescent="0.6">
      <c r="B6" s="88" t="s">
        <v>243</v>
      </c>
      <c r="C6" s="89" t="s">
        <v>44</v>
      </c>
      <c r="D6" s="89" t="s">
        <v>244</v>
      </c>
    </row>
    <row r="7" spans="1:4" ht="15.6" thickBot="1" x14ac:dyDescent="0.6">
      <c r="B7" s="90" t="s">
        <v>221</v>
      </c>
      <c r="C7" s="91">
        <v>320</v>
      </c>
      <c r="D7" s="91" t="s">
        <v>245</v>
      </c>
    </row>
    <row r="8" spans="1:4" ht="15.6" thickBot="1" x14ac:dyDescent="0.6">
      <c r="B8" s="90" t="s">
        <v>246</v>
      </c>
      <c r="C8" s="91">
        <v>222</v>
      </c>
      <c r="D8" s="91" t="s">
        <v>247</v>
      </c>
    </row>
    <row r="9" spans="1:4" ht="15.6" thickBot="1" x14ac:dyDescent="0.6">
      <c r="B9" s="90" t="s">
        <v>248</v>
      </c>
      <c r="C9" s="91">
        <v>222</v>
      </c>
      <c r="D9" s="91" t="s">
        <v>249</v>
      </c>
    </row>
    <row r="10" spans="1:4" ht="15.6" thickBot="1" x14ac:dyDescent="0.6">
      <c r="B10" s="90" t="s">
        <v>250</v>
      </c>
      <c r="C10" s="91">
        <v>201</v>
      </c>
      <c r="D10" s="91" t="s">
        <v>251</v>
      </c>
    </row>
    <row r="11" spans="1:4" ht="15.6" thickBot="1" x14ac:dyDescent="0.6">
      <c r="B11" s="90" t="s">
        <v>252</v>
      </c>
      <c r="C11" s="91">
        <v>201</v>
      </c>
      <c r="D11" s="91" t="s">
        <v>253</v>
      </c>
    </row>
    <row r="12" spans="1:4" ht="15.6" thickBot="1" x14ac:dyDescent="0.6">
      <c r="B12" s="90" t="s">
        <v>254</v>
      </c>
      <c r="C12" s="91">
        <v>101</v>
      </c>
      <c r="D12" s="91" t="s">
        <v>255</v>
      </c>
    </row>
    <row r="13" spans="1:4" ht="15.3" x14ac:dyDescent="0.55000000000000004">
      <c r="B13" s="86"/>
    </row>
    <row r="14" spans="1:4" ht="15.3" x14ac:dyDescent="0.55000000000000004">
      <c r="B14" s="92" t="s">
        <v>256</v>
      </c>
    </row>
    <row r="15" spans="1:4" ht="15.3" x14ac:dyDescent="0.55000000000000004">
      <c r="B15" s="86"/>
    </row>
    <row r="16" spans="1:4" ht="15.3" x14ac:dyDescent="0.55000000000000004">
      <c r="B16" s="86" t="s">
        <v>257</v>
      </c>
    </row>
    <row r="17" spans="2:3" ht="15.3" x14ac:dyDescent="0.55000000000000004">
      <c r="B17" s="86" t="s">
        <v>258</v>
      </c>
    </row>
    <row r="18" spans="2:3" ht="15.3" x14ac:dyDescent="0.55000000000000004">
      <c r="B18" s="86" t="s">
        <v>259</v>
      </c>
    </row>
    <row r="19" spans="2:3" ht="15.3" x14ac:dyDescent="0.55000000000000004">
      <c r="B19" s="86" t="s">
        <v>260</v>
      </c>
    </row>
    <row r="20" spans="2:3" ht="15.3" x14ac:dyDescent="0.55000000000000004">
      <c r="B20" s="86"/>
    </row>
    <row r="21" spans="2:3" ht="15.3" x14ac:dyDescent="0.55000000000000004">
      <c r="B21" s="86" t="s">
        <v>261</v>
      </c>
    </row>
    <row r="22" spans="2:3" ht="15.3" x14ac:dyDescent="0.55000000000000004">
      <c r="B22" s="86" t="s">
        <v>262</v>
      </c>
    </row>
    <row r="23" spans="2:3" ht="15.6" thickBot="1" x14ac:dyDescent="0.6">
      <c r="B23" s="86"/>
    </row>
    <row r="24" spans="2:3" ht="15.6" thickBot="1" x14ac:dyDescent="0.6">
      <c r="B24" s="93" t="s">
        <v>263</v>
      </c>
      <c r="C24" s="94" t="s">
        <v>264</v>
      </c>
    </row>
    <row r="25" spans="2:3" ht="15.6" thickBot="1" x14ac:dyDescent="0.6">
      <c r="B25" s="95" t="s">
        <v>265</v>
      </c>
      <c r="C25" s="91" t="s">
        <v>221</v>
      </c>
    </row>
    <row r="26" spans="2:3" ht="15.6" thickBot="1" x14ac:dyDescent="0.6">
      <c r="B26" s="95" t="s">
        <v>266</v>
      </c>
      <c r="C26" s="91" t="s">
        <v>267</v>
      </c>
    </row>
    <row r="27" spans="2:3" ht="15.6" thickBot="1" x14ac:dyDescent="0.6">
      <c r="B27" s="95" t="s">
        <v>268</v>
      </c>
      <c r="C27" s="91" t="s">
        <v>269</v>
      </c>
    </row>
    <row r="28" spans="2:3" ht="15.6" thickBot="1" x14ac:dyDescent="0.6">
      <c r="B28" s="95" t="s">
        <v>270</v>
      </c>
      <c r="C28" s="91" t="s">
        <v>271</v>
      </c>
    </row>
    <row r="29" spans="2:3" ht="15.6" thickBot="1" x14ac:dyDescent="0.6">
      <c r="B29" s="95" t="s">
        <v>272</v>
      </c>
      <c r="C29" s="91" t="s">
        <v>273</v>
      </c>
    </row>
    <row r="30" spans="2:3" ht="15.3" x14ac:dyDescent="0.55000000000000004">
      <c r="B30" s="86"/>
    </row>
    <row r="31" spans="2:3" ht="15.3" x14ac:dyDescent="0.55000000000000004">
      <c r="B31" s="8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25"/>
  <sheetViews>
    <sheetView tabSelected="1" topLeftCell="A4" zoomScale="91" zoomScaleNormal="100" workbookViewId="0">
      <selection activeCell="A26" sqref="A26"/>
    </sheetView>
  </sheetViews>
  <sheetFormatPr baseColWidth="10" defaultRowHeight="14.4" x14ac:dyDescent="0.55000000000000004"/>
  <cols>
    <col min="3" max="34" width="3.41796875" customWidth="1"/>
    <col min="35" max="35" width="4.26171875" customWidth="1"/>
    <col min="36" max="36" width="22.83984375" customWidth="1"/>
    <col min="259" max="290" width="3.41796875" customWidth="1"/>
    <col min="291" max="291" width="4.26171875" customWidth="1"/>
    <col min="292" max="292" width="22.83984375" customWidth="1"/>
    <col min="515" max="546" width="3.41796875" customWidth="1"/>
    <col min="547" max="547" width="4.26171875" customWidth="1"/>
    <col min="548" max="548" width="22.83984375" customWidth="1"/>
    <col min="771" max="802" width="3.41796875" customWidth="1"/>
    <col min="803" max="803" width="4.26171875" customWidth="1"/>
    <col min="804" max="804" width="22.83984375" customWidth="1"/>
    <col min="1027" max="1058" width="3.41796875" customWidth="1"/>
    <col min="1059" max="1059" width="4.26171875" customWidth="1"/>
    <col min="1060" max="1060" width="22.83984375" customWidth="1"/>
    <col min="1283" max="1314" width="3.41796875" customWidth="1"/>
    <col min="1315" max="1315" width="4.26171875" customWidth="1"/>
    <col min="1316" max="1316" width="22.83984375" customWidth="1"/>
    <col min="1539" max="1570" width="3.41796875" customWidth="1"/>
    <col min="1571" max="1571" width="4.26171875" customWidth="1"/>
    <col min="1572" max="1572" width="22.83984375" customWidth="1"/>
    <col min="1795" max="1826" width="3.41796875" customWidth="1"/>
    <col min="1827" max="1827" width="4.26171875" customWidth="1"/>
    <col min="1828" max="1828" width="22.83984375" customWidth="1"/>
    <col min="2051" max="2082" width="3.41796875" customWidth="1"/>
    <col min="2083" max="2083" width="4.26171875" customWidth="1"/>
    <col min="2084" max="2084" width="22.83984375" customWidth="1"/>
    <col min="2307" max="2338" width="3.41796875" customWidth="1"/>
    <col min="2339" max="2339" width="4.26171875" customWidth="1"/>
    <col min="2340" max="2340" width="22.83984375" customWidth="1"/>
    <col min="2563" max="2594" width="3.41796875" customWidth="1"/>
    <col min="2595" max="2595" width="4.26171875" customWidth="1"/>
    <col min="2596" max="2596" width="22.83984375" customWidth="1"/>
    <col min="2819" max="2850" width="3.41796875" customWidth="1"/>
    <col min="2851" max="2851" width="4.26171875" customWidth="1"/>
    <col min="2852" max="2852" width="22.83984375" customWidth="1"/>
    <col min="3075" max="3106" width="3.41796875" customWidth="1"/>
    <col min="3107" max="3107" width="4.26171875" customWidth="1"/>
    <col min="3108" max="3108" width="22.83984375" customWidth="1"/>
    <col min="3331" max="3362" width="3.41796875" customWidth="1"/>
    <col min="3363" max="3363" width="4.26171875" customWidth="1"/>
    <col min="3364" max="3364" width="22.83984375" customWidth="1"/>
    <col min="3587" max="3618" width="3.41796875" customWidth="1"/>
    <col min="3619" max="3619" width="4.26171875" customWidth="1"/>
    <col min="3620" max="3620" width="22.83984375" customWidth="1"/>
    <col min="3843" max="3874" width="3.41796875" customWidth="1"/>
    <col min="3875" max="3875" width="4.26171875" customWidth="1"/>
    <col min="3876" max="3876" width="22.83984375" customWidth="1"/>
    <col min="4099" max="4130" width="3.41796875" customWidth="1"/>
    <col min="4131" max="4131" width="4.26171875" customWidth="1"/>
    <col min="4132" max="4132" width="22.83984375" customWidth="1"/>
    <col min="4355" max="4386" width="3.41796875" customWidth="1"/>
    <col min="4387" max="4387" width="4.26171875" customWidth="1"/>
    <col min="4388" max="4388" width="22.83984375" customWidth="1"/>
    <col min="4611" max="4642" width="3.41796875" customWidth="1"/>
    <col min="4643" max="4643" width="4.26171875" customWidth="1"/>
    <col min="4644" max="4644" width="22.83984375" customWidth="1"/>
    <col min="4867" max="4898" width="3.41796875" customWidth="1"/>
    <col min="4899" max="4899" width="4.26171875" customWidth="1"/>
    <col min="4900" max="4900" width="22.83984375" customWidth="1"/>
    <col min="5123" max="5154" width="3.41796875" customWidth="1"/>
    <col min="5155" max="5155" width="4.26171875" customWidth="1"/>
    <col min="5156" max="5156" width="22.83984375" customWidth="1"/>
    <col min="5379" max="5410" width="3.41796875" customWidth="1"/>
    <col min="5411" max="5411" width="4.26171875" customWidth="1"/>
    <col min="5412" max="5412" width="22.83984375" customWidth="1"/>
    <col min="5635" max="5666" width="3.41796875" customWidth="1"/>
    <col min="5667" max="5667" width="4.26171875" customWidth="1"/>
    <col min="5668" max="5668" width="22.83984375" customWidth="1"/>
    <col min="5891" max="5922" width="3.41796875" customWidth="1"/>
    <col min="5923" max="5923" width="4.26171875" customWidth="1"/>
    <col min="5924" max="5924" width="22.83984375" customWidth="1"/>
    <col min="6147" max="6178" width="3.41796875" customWidth="1"/>
    <col min="6179" max="6179" width="4.26171875" customWidth="1"/>
    <col min="6180" max="6180" width="22.83984375" customWidth="1"/>
    <col min="6403" max="6434" width="3.41796875" customWidth="1"/>
    <col min="6435" max="6435" width="4.26171875" customWidth="1"/>
    <col min="6436" max="6436" width="22.83984375" customWidth="1"/>
    <col min="6659" max="6690" width="3.41796875" customWidth="1"/>
    <col min="6691" max="6691" width="4.26171875" customWidth="1"/>
    <col min="6692" max="6692" width="22.83984375" customWidth="1"/>
    <col min="6915" max="6946" width="3.41796875" customWidth="1"/>
    <col min="6947" max="6947" width="4.26171875" customWidth="1"/>
    <col min="6948" max="6948" width="22.83984375" customWidth="1"/>
    <col min="7171" max="7202" width="3.41796875" customWidth="1"/>
    <col min="7203" max="7203" width="4.26171875" customWidth="1"/>
    <col min="7204" max="7204" width="22.83984375" customWidth="1"/>
    <col min="7427" max="7458" width="3.41796875" customWidth="1"/>
    <col min="7459" max="7459" width="4.26171875" customWidth="1"/>
    <col min="7460" max="7460" width="22.83984375" customWidth="1"/>
    <col min="7683" max="7714" width="3.41796875" customWidth="1"/>
    <col min="7715" max="7715" width="4.26171875" customWidth="1"/>
    <col min="7716" max="7716" width="22.83984375" customWidth="1"/>
    <col min="7939" max="7970" width="3.41796875" customWidth="1"/>
    <col min="7971" max="7971" width="4.26171875" customWidth="1"/>
    <col min="7972" max="7972" width="22.83984375" customWidth="1"/>
    <col min="8195" max="8226" width="3.41796875" customWidth="1"/>
    <col min="8227" max="8227" width="4.26171875" customWidth="1"/>
    <col min="8228" max="8228" width="22.83984375" customWidth="1"/>
    <col min="8451" max="8482" width="3.41796875" customWidth="1"/>
    <col min="8483" max="8483" width="4.26171875" customWidth="1"/>
    <col min="8484" max="8484" width="22.83984375" customWidth="1"/>
    <col min="8707" max="8738" width="3.41796875" customWidth="1"/>
    <col min="8739" max="8739" width="4.26171875" customWidth="1"/>
    <col min="8740" max="8740" width="22.83984375" customWidth="1"/>
    <col min="8963" max="8994" width="3.41796875" customWidth="1"/>
    <col min="8995" max="8995" width="4.26171875" customWidth="1"/>
    <col min="8996" max="8996" width="22.83984375" customWidth="1"/>
    <col min="9219" max="9250" width="3.41796875" customWidth="1"/>
    <col min="9251" max="9251" width="4.26171875" customWidth="1"/>
    <col min="9252" max="9252" width="22.83984375" customWidth="1"/>
    <col min="9475" max="9506" width="3.41796875" customWidth="1"/>
    <col min="9507" max="9507" width="4.26171875" customWidth="1"/>
    <col min="9508" max="9508" width="22.83984375" customWidth="1"/>
    <col min="9731" max="9762" width="3.41796875" customWidth="1"/>
    <col min="9763" max="9763" width="4.26171875" customWidth="1"/>
    <col min="9764" max="9764" width="22.83984375" customWidth="1"/>
    <col min="9987" max="10018" width="3.41796875" customWidth="1"/>
    <col min="10019" max="10019" width="4.26171875" customWidth="1"/>
    <col min="10020" max="10020" width="22.83984375" customWidth="1"/>
    <col min="10243" max="10274" width="3.41796875" customWidth="1"/>
    <col min="10275" max="10275" width="4.26171875" customWidth="1"/>
    <col min="10276" max="10276" width="22.83984375" customWidth="1"/>
    <col min="10499" max="10530" width="3.41796875" customWidth="1"/>
    <col min="10531" max="10531" width="4.26171875" customWidth="1"/>
    <col min="10532" max="10532" width="22.83984375" customWidth="1"/>
    <col min="10755" max="10786" width="3.41796875" customWidth="1"/>
    <col min="10787" max="10787" width="4.26171875" customWidth="1"/>
    <col min="10788" max="10788" width="22.83984375" customWidth="1"/>
    <col min="11011" max="11042" width="3.41796875" customWidth="1"/>
    <col min="11043" max="11043" width="4.26171875" customWidth="1"/>
    <col min="11044" max="11044" width="22.83984375" customWidth="1"/>
    <col min="11267" max="11298" width="3.41796875" customWidth="1"/>
    <col min="11299" max="11299" width="4.26171875" customWidth="1"/>
    <col min="11300" max="11300" width="22.83984375" customWidth="1"/>
    <col min="11523" max="11554" width="3.41796875" customWidth="1"/>
    <col min="11555" max="11555" width="4.26171875" customWidth="1"/>
    <col min="11556" max="11556" width="22.83984375" customWidth="1"/>
    <col min="11779" max="11810" width="3.41796875" customWidth="1"/>
    <col min="11811" max="11811" width="4.26171875" customWidth="1"/>
    <col min="11812" max="11812" width="22.83984375" customWidth="1"/>
    <col min="12035" max="12066" width="3.41796875" customWidth="1"/>
    <col min="12067" max="12067" width="4.26171875" customWidth="1"/>
    <col min="12068" max="12068" width="22.83984375" customWidth="1"/>
    <col min="12291" max="12322" width="3.41796875" customWidth="1"/>
    <col min="12323" max="12323" width="4.26171875" customWidth="1"/>
    <col min="12324" max="12324" width="22.83984375" customWidth="1"/>
    <col min="12547" max="12578" width="3.41796875" customWidth="1"/>
    <col min="12579" max="12579" width="4.26171875" customWidth="1"/>
    <col min="12580" max="12580" width="22.83984375" customWidth="1"/>
    <col min="12803" max="12834" width="3.41796875" customWidth="1"/>
    <col min="12835" max="12835" width="4.26171875" customWidth="1"/>
    <col min="12836" max="12836" width="22.83984375" customWidth="1"/>
    <col min="13059" max="13090" width="3.41796875" customWidth="1"/>
    <col min="13091" max="13091" width="4.26171875" customWidth="1"/>
    <col min="13092" max="13092" width="22.83984375" customWidth="1"/>
    <col min="13315" max="13346" width="3.41796875" customWidth="1"/>
    <col min="13347" max="13347" width="4.26171875" customWidth="1"/>
    <col min="13348" max="13348" width="22.83984375" customWidth="1"/>
    <col min="13571" max="13602" width="3.41796875" customWidth="1"/>
    <col min="13603" max="13603" width="4.26171875" customWidth="1"/>
    <col min="13604" max="13604" width="22.83984375" customWidth="1"/>
    <col min="13827" max="13858" width="3.41796875" customWidth="1"/>
    <col min="13859" max="13859" width="4.26171875" customWidth="1"/>
    <col min="13860" max="13860" width="22.83984375" customWidth="1"/>
    <col min="14083" max="14114" width="3.41796875" customWidth="1"/>
    <col min="14115" max="14115" width="4.26171875" customWidth="1"/>
    <col min="14116" max="14116" width="22.83984375" customWidth="1"/>
    <col min="14339" max="14370" width="3.41796875" customWidth="1"/>
    <col min="14371" max="14371" width="4.26171875" customWidth="1"/>
    <col min="14372" max="14372" width="22.83984375" customWidth="1"/>
    <col min="14595" max="14626" width="3.41796875" customWidth="1"/>
    <col min="14627" max="14627" width="4.26171875" customWidth="1"/>
    <col min="14628" max="14628" width="22.83984375" customWidth="1"/>
    <col min="14851" max="14882" width="3.41796875" customWidth="1"/>
    <col min="14883" max="14883" width="4.26171875" customWidth="1"/>
    <col min="14884" max="14884" width="22.83984375" customWidth="1"/>
    <col min="15107" max="15138" width="3.41796875" customWidth="1"/>
    <col min="15139" max="15139" width="4.26171875" customWidth="1"/>
    <col min="15140" max="15140" width="22.83984375" customWidth="1"/>
    <col min="15363" max="15394" width="3.41796875" customWidth="1"/>
    <col min="15395" max="15395" width="4.26171875" customWidth="1"/>
    <col min="15396" max="15396" width="22.83984375" customWidth="1"/>
    <col min="15619" max="15650" width="3.41796875" customWidth="1"/>
    <col min="15651" max="15651" width="4.26171875" customWidth="1"/>
    <col min="15652" max="15652" width="22.83984375" customWidth="1"/>
    <col min="15875" max="15906" width="3.41796875" customWidth="1"/>
    <col min="15907" max="15907" width="4.26171875" customWidth="1"/>
    <col min="15908" max="15908" width="22.83984375" customWidth="1"/>
    <col min="16131" max="16162" width="3.41796875" customWidth="1"/>
    <col min="16163" max="16163" width="4.26171875" customWidth="1"/>
    <col min="16164" max="16164" width="22.83984375" customWidth="1"/>
  </cols>
  <sheetData>
    <row r="1" spans="1:36" ht="25.5" thickBot="1" x14ac:dyDescent="0.9">
      <c r="A1" s="393" t="s">
        <v>338</v>
      </c>
      <c r="B1" s="393"/>
      <c r="C1" s="436"/>
      <c r="D1" s="436"/>
      <c r="E1" s="437"/>
      <c r="F1" s="438">
        <v>10</v>
      </c>
      <c r="G1" s="439"/>
      <c r="H1" s="440"/>
      <c r="I1" s="433">
        <f>F1/10</f>
        <v>1</v>
      </c>
      <c r="J1" s="434"/>
      <c r="K1" s="434"/>
      <c r="L1" s="435"/>
      <c r="M1" s="433">
        <f>F1/100</f>
        <v>0.1</v>
      </c>
      <c r="N1" s="434"/>
      <c r="O1" s="434"/>
      <c r="P1" s="435"/>
      <c r="Q1" s="433">
        <f>F1/1000</f>
        <v>0.01</v>
      </c>
      <c r="R1" s="434"/>
      <c r="S1" s="434"/>
      <c r="T1" s="435"/>
      <c r="U1" s="433">
        <f>F1/10000</f>
        <v>1E-3</v>
      </c>
      <c r="V1" s="434"/>
      <c r="W1" s="434"/>
      <c r="X1" s="435"/>
      <c r="Y1" s="150" t="s">
        <v>89</v>
      </c>
      <c r="Z1" s="151"/>
      <c r="AA1" s="120" t="s">
        <v>324</v>
      </c>
      <c r="AB1" s="121"/>
      <c r="AC1" s="121"/>
      <c r="AD1" s="121"/>
      <c r="AE1" s="121"/>
      <c r="AF1" s="121"/>
      <c r="AG1" s="121"/>
      <c r="AH1" s="122" t="s">
        <v>325</v>
      </c>
    </row>
    <row r="2" spans="1:36" ht="25.5" thickBot="1" x14ac:dyDescent="0.9">
      <c r="A2" s="152"/>
      <c r="B2" s="152"/>
      <c r="C2" s="394" t="s">
        <v>320</v>
      </c>
      <c r="D2" s="153"/>
      <c r="E2" s="154"/>
      <c r="F2" s="416">
        <v>100</v>
      </c>
      <c r="G2" s="417"/>
      <c r="H2" s="418"/>
      <c r="I2" s="419">
        <f>F2/10</f>
        <v>10</v>
      </c>
      <c r="J2" s="420"/>
      <c r="K2" s="420"/>
      <c r="L2" s="421"/>
      <c r="M2" s="419">
        <f>F2/100</f>
        <v>1</v>
      </c>
      <c r="N2" s="420"/>
      <c r="O2" s="420"/>
      <c r="P2" s="421"/>
      <c r="Q2" s="419">
        <f>F2/1000</f>
        <v>0.1</v>
      </c>
      <c r="R2" s="420"/>
      <c r="S2" s="420"/>
      <c r="T2" s="421"/>
      <c r="U2" s="419">
        <f>F2/10000</f>
        <v>0.01</v>
      </c>
      <c r="V2" s="420"/>
      <c r="W2" s="420"/>
      <c r="X2" s="421"/>
      <c r="Y2" s="155" t="s">
        <v>167</v>
      </c>
      <c r="Z2" s="156"/>
      <c r="AA2" s="157"/>
      <c r="AB2" s="44"/>
      <c r="AC2" s="44"/>
      <c r="AD2" s="44"/>
      <c r="AE2" s="44"/>
      <c r="AF2" s="44"/>
      <c r="AG2" s="44"/>
      <c r="AH2" s="158"/>
    </row>
    <row r="3" spans="1:36" ht="25.5" thickBot="1" x14ac:dyDescent="0.9">
      <c r="A3" s="152"/>
      <c r="B3" s="152"/>
      <c r="C3" s="415"/>
      <c r="D3" s="153"/>
      <c r="E3" s="154"/>
      <c r="F3" s="422">
        <v>1000</v>
      </c>
      <c r="G3" s="423"/>
      <c r="H3" s="424"/>
      <c r="I3" s="425">
        <f>F3/10</f>
        <v>100</v>
      </c>
      <c r="J3" s="426"/>
      <c r="K3" s="426"/>
      <c r="L3" s="427"/>
      <c r="M3" s="425">
        <f>F3/100</f>
        <v>10</v>
      </c>
      <c r="N3" s="426"/>
      <c r="O3" s="426"/>
      <c r="P3" s="427"/>
      <c r="Q3" s="425">
        <f>F3/1000</f>
        <v>1</v>
      </c>
      <c r="R3" s="426"/>
      <c r="S3" s="426"/>
      <c r="T3" s="427"/>
      <c r="U3" s="425">
        <f>F3/10000</f>
        <v>0.1</v>
      </c>
      <c r="V3" s="426"/>
      <c r="W3" s="426"/>
      <c r="X3" s="427"/>
      <c r="Y3" s="319" t="s">
        <v>339</v>
      </c>
      <c r="Z3" s="320"/>
      <c r="AA3" s="157"/>
      <c r="AB3" s="44"/>
      <c r="AC3" s="44"/>
      <c r="AD3" s="44"/>
      <c r="AE3" s="44"/>
      <c r="AF3" s="44"/>
      <c r="AG3" s="44"/>
      <c r="AH3" s="158"/>
    </row>
    <row r="4" spans="1:36" ht="26.25" customHeight="1" thickBot="1" x14ac:dyDescent="0.8">
      <c r="B4" t="s">
        <v>326</v>
      </c>
      <c r="C4" s="394"/>
      <c r="D4" s="428" t="s">
        <v>11</v>
      </c>
      <c r="E4" s="429"/>
      <c r="F4" s="430" t="s">
        <v>327</v>
      </c>
      <c r="G4" s="431"/>
      <c r="H4" s="43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1"/>
      <c r="X4" s="432"/>
      <c r="Y4" s="411" t="s">
        <v>1</v>
      </c>
      <c r="Z4" s="412"/>
      <c r="AA4" s="382" t="s">
        <v>328</v>
      </c>
      <c r="AB4" s="383"/>
      <c r="AC4" s="383"/>
      <c r="AD4" s="383"/>
      <c r="AE4" s="383"/>
      <c r="AF4" s="383"/>
      <c r="AG4" s="383"/>
      <c r="AH4" s="384"/>
    </row>
    <row r="5" spans="1:36" s="123" customFormat="1" ht="14.7" thickBot="1" x14ac:dyDescent="0.6">
      <c r="B5" s="123" t="s">
        <v>329</v>
      </c>
      <c r="C5" s="124">
        <v>32</v>
      </c>
      <c r="D5" s="159">
        <v>31</v>
      </c>
      <c r="E5" s="159">
        <v>30</v>
      </c>
      <c r="F5" s="136">
        <v>29</v>
      </c>
      <c r="G5" s="137">
        <v>28</v>
      </c>
      <c r="H5" s="138">
        <v>27</v>
      </c>
      <c r="I5" s="136">
        <v>26</v>
      </c>
      <c r="J5" s="137">
        <v>25</v>
      </c>
      <c r="K5" s="137">
        <v>24</v>
      </c>
      <c r="L5" s="138">
        <v>23</v>
      </c>
      <c r="M5" s="136">
        <v>22</v>
      </c>
      <c r="N5" s="137">
        <v>21</v>
      </c>
      <c r="O5" s="137">
        <v>20</v>
      </c>
      <c r="P5" s="138">
        <v>19</v>
      </c>
      <c r="Q5" s="136">
        <v>18</v>
      </c>
      <c r="R5" s="137">
        <v>17</v>
      </c>
      <c r="S5" s="137">
        <v>16</v>
      </c>
      <c r="T5" s="138">
        <v>15</v>
      </c>
      <c r="U5" s="136">
        <v>14</v>
      </c>
      <c r="V5" s="137">
        <v>13</v>
      </c>
      <c r="W5" s="137">
        <v>12</v>
      </c>
      <c r="X5" s="138">
        <v>11</v>
      </c>
      <c r="Y5" s="321">
        <v>10</v>
      </c>
      <c r="Z5" s="321">
        <v>9</v>
      </c>
      <c r="AA5" s="322">
        <v>8</v>
      </c>
      <c r="AB5" s="323">
        <v>7</v>
      </c>
      <c r="AC5" s="323">
        <v>6</v>
      </c>
      <c r="AD5" s="323">
        <v>5</v>
      </c>
      <c r="AE5" s="323">
        <v>4</v>
      </c>
      <c r="AF5" s="323">
        <v>3</v>
      </c>
      <c r="AG5" s="323">
        <v>2</v>
      </c>
      <c r="AH5" s="324">
        <v>1</v>
      </c>
    </row>
    <row r="6" spans="1:36" s="131" customFormat="1" ht="21.75" customHeight="1" thickBot="1" x14ac:dyDescent="0.6">
      <c r="B6" s="132" t="s">
        <v>330</v>
      </c>
      <c r="C6" s="133">
        <f>IF(2*ROUNDUP(SUM(D6:AH6)/2,0)&gt;SUM(D6:AH6),0,1)</f>
        <v>1</v>
      </c>
      <c r="D6" s="328">
        <v>0</v>
      </c>
      <c r="E6" s="311">
        <v>0</v>
      </c>
      <c r="F6" s="313">
        <v>0</v>
      </c>
      <c r="G6" s="313">
        <v>1</v>
      </c>
      <c r="H6" s="314">
        <v>1</v>
      </c>
      <c r="I6" s="312">
        <v>0</v>
      </c>
      <c r="J6" s="313">
        <v>0</v>
      </c>
      <c r="K6" s="313">
        <v>1</v>
      </c>
      <c r="L6" s="314">
        <v>0</v>
      </c>
      <c r="M6" s="312">
        <v>0</v>
      </c>
      <c r="N6" s="313">
        <v>0</v>
      </c>
      <c r="O6" s="313">
        <v>0</v>
      </c>
      <c r="P6" s="314">
        <v>1</v>
      </c>
      <c r="Q6" s="312">
        <v>0</v>
      </c>
      <c r="R6" s="313">
        <v>1</v>
      </c>
      <c r="S6" s="313">
        <v>0</v>
      </c>
      <c r="T6" s="314">
        <v>1</v>
      </c>
      <c r="U6" s="312">
        <v>0</v>
      </c>
      <c r="V6" s="313">
        <v>0</v>
      </c>
      <c r="W6" s="313">
        <v>0</v>
      </c>
      <c r="X6" s="314">
        <v>0</v>
      </c>
      <c r="Y6" s="315">
        <v>0</v>
      </c>
      <c r="Z6" s="315">
        <v>0</v>
      </c>
      <c r="AA6" s="316">
        <v>1</v>
      </c>
      <c r="AB6" s="317">
        <v>0</v>
      </c>
      <c r="AC6" s="317">
        <v>0</v>
      </c>
      <c r="AD6" s="317">
        <v>0</v>
      </c>
      <c r="AE6" s="317">
        <v>0</v>
      </c>
      <c r="AF6" s="317">
        <v>0</v>
      </c>
      <c r="AG6" s="317">
        <v>0</v>
      </c>
      <c r="AH6" s="318">
        <v>1</v>
      </c>
      <c r="AJ6" s="134" t="s">
        <v>331</v>
      </c>
    </row>
    <row r="7" spans="1:36" x14ac:dyDescent="0.55000000000000004">
      <c r="B7" t="s">
        <v>340</v>
      </c>
      <c r="F7" s="157">
        <v>4</v>
      </c>
      <c r="G7" s="44">
        <v>2</v>
      </c>
      <c r="H7" s="160">
        <v>1</v>
      </c>
      <c r="I7" s="157">
        <v>8</v>
      </c>
      <c r="J7" s="161">
        <v>4</v>
      </c>
      <c r="K7" s="161">
        <v>2</v>
      </c>
      <c r="L7" s="160">
        <v>1</v>
      </c>
      <c r="M7" s="157">
        <v>8</v>
      </c>
      <c r="N7" s="161">
        <v>4</v>
      </c>
      <c r="O7" s="161">
        <v>2</v>
      </c>
      <c r="P7" s="160">
        <v>1</v>
      </c>
      <c r="Q7" s="157">
        <v>8</v>
      </c>
      <c r="R7" s="161">
        <v>4</v>
      </c>
      <c r="S7" s="161">
        <v>2</v>
      </c>
      <c r="T7" s="160">
        <v>1</v>
      </c>
      <c r="U7" s="157">
        <v>8</v>
      </c>
      <c r="V7" s="161">
        <v>4</v>
      </c>
      <c r="W7" s="161">
        <v>2</v>
      </c>
      <c r="X7" s="160">
        <v>1</v>
      </c>
      <c r="AA7" s="325">
        <v>1</v>
      </c>
      <c r="AB7" s="326">
        <f>AA7*2</f>
        <v>2</v>
      </c>
      <c r="AC7" s="327">
        <f>AB7*2</f>
        <v>4</v>
      </c>
      <c r="AD7" s="325">
        <v>1</v>
      </c>
      <c r="AE7" s="326">
        <f>AD7*2</f>
        <v>2</v>
      </c>
      <c r="AF7" s="327">
        <f>AE7*2</f>
        <v>4</v>
      </c>
      <c r="AG7" s="325">
        <v>1</v>
      </c>
      <c r="AH7" s="327">
        <f>AG7*2</f>
        <v>2</v>
      </c>
    </row>
    <row r="8" spans="1:36" ht="14.7" thickBot="1" x14ac:dyDescent="0.6">
      <c r="F8" s="157"/>
      <c r="G8" s="44"/>
      <c r="H8" s="160"/>
      <c r="I8" s="157"/>
      <c r="J8" s="44"/>
      <c r="K8" s="44"/>
      <c r="L8" s="160"/>
      <c r="M8" s="157"/>
      <c r="N8" s="44"/>
      <c r="O8" s="44"/>
      <c r="P8" s="160"/>
      <c r="Q8" s="157"/>
      <c r="R8" s="44"/>
      <c r="S8" s="44"/>
      <c r="T8" s="160"/>
      <c r="U8" s="162"/>
      <c r="V8" s="163"/>
      <c r="W8" s="163"/>
      <c r="X8" s="164"/>
      <c r="AA8" s="385">
        <f>AA6*AA7+AB6*AB7+AC6*AC7</f>
        <v>1</v>
      </c>
      <c r="AB8" s="386"/>
      <c r="AC8" s="387"/>
      <c r="AD8" s="385">
        <f>AD6*AD7+AE6*AE7+AF6*AF7</f>
        <v>0</v>
      </c>
      <c r="AE8" s="386"/>
      <c r="AF8" s="387"/>
      <c r="AG8" s="385">
        <f>AG6*AG7+AH6*AH7</f>
        <v>2</v>
      </c>
      <c r="AH8" s="387"/>
    </row>
    <row r="9" spans="1:36" ht="14.7" thickBot="1" x14ac:dyDescent="0.6">
      <c r="F9" s="165"/>
      <c r="G9" s="166"/>
      <c r="H9" s="167"/>
      <c r="I9" s="165"/>
      <c r="J9" s="166"/>
      <c r="K9" s="166"/>
      <c r="L9" s="167"/>
      <c r="M9" s="165"/>
      <c r="N9" s="166"/>
      <c r="O9" s="166"/>
      <c r="P9" s="167"/>
      <c r="Q9" s="165"/>
      <c r="R9" s="166"/>
      <c r="S9" s="166"/>
      <c r="T9" s="167"/>
      <c r="U9" s="139"/>
      <c r="V9" s="139"/>
      <c r="W9" s="139"/>
      <c r="X9" s="139"/>
      <c r="AA9" s="157"/>
      <c r="AB9" s="44"/>
      <c r="AC9" s="44"/>
      <c r="AD9" s="44"/>
      <c r="AE9" s="44"/>
      <c r="AF9" s="44"/>
      <c r="AG9" s="44"/>
      <c r="AH9" s="160"/>
    </row>
    <row r="10" spans="1:36" s="140" customFormat="1" ht="10.5" thickBot="1" x14ac:dyDescent="0.4">
      <c r="C10" s="140">
        <f t="shared" ref="C10:H10" si="0">D10*2</f>
        <v>128</v>
      </c>
      <c r="D10" s="140">
        <f t="shared" si="0"/>
        <v>64</v>
      </c>
      <c r="E10" s="140">
        <f t="shared" si="0"/>
        <v>32</v>
      </c>
      <c r="F10" s="140">
        <f t="shared" si="0"/>
        <v>16</v>
      </c>
      <c r="G10" s="140">
        <f t="shared" si="0"/>
        <v>8</v>
      </c>
      <c r="H10" s="140">
        <f t="shared" si="0"/>
        <v>4</v>
      </c>
      <c r="I10" s="140">
        <f>J10*2</f>
        <v>2</v>
      </c>
      <c r="J10" s="140">
        <v>1</v>
      </c>
      <c r="K10" s="140">
        <f t="shared" ref="K10:P10" si="1">L10*2</f>
        <v>128</v>
      </c>
      <c r="L10" s="140">
        <f t="shared" si="1"/>
        <v>64</v>
      </c>
      <c r="M10" s="140">
        <f t="shared" si="1"/>
        <v>32</v>
      </c>
      <c r="N10" s="140">
        <f t="shared" si="1"/>
        <v>16</v>
      </c>
      <c r="O10" s="140">
        <f t="shared" si="1"/>
        <v>8</v>
      </c>
      <c r="P10" s="140">
        <f t="shared" si="1"/>
        <v>4</v>
      </c>
      <c r="Q10" s="140">
        <f>R10*2</f>
        <v>2</v>
      </c>
      <c r="R10" s="140">
        <v>1</v>
      </c>
      <c r="S10" s="140">
        <f t="shared" ref="S10:X10" si="2">T10*2</f>
        <v>128</v>
      </c>
      <c r="T10" s="140">
        <f t="shared" si="2"/>
        <v>64</v>
      </c>
      <c r="U10" s="140">
        <f t="shared" si="2"/>
        <v>32</v>
      </c>
      <c r="V10" s="140">
        <f t="shared" si="2"/>
        <v>16</v>
      </c>
      <c r="W10" s="140">
        <f t="shared" si="2"/>
        <v>8</v>
      </c>
      <c r="X10" s="140">
        <f t="shared" si="2"/>
        <v>4</v>
      </c>
      <c r="Y10" s="140">
        <f>Z10*2</f>
        <v>2</v>
      </c>
      <c r="Z10" s="140">
        <v>1</v>
      </c>
      <c r="AA10" s="168">
        <f t="shared" ref="AA10:AF10" si="3">AB10*2</f>
        <v>128</v>
      </c>
      <c r="AB10" s="169">
        <f t="shared" si="3"/>
        <v>64</v>
      </c>
      <c r="AC10" s="169">
        <f t="shared" si="3"/>
        <v>32</v>
      </c>
      <c r="AD10" s="169">
        <f t="shared" si="3"/>
        <v>16</v>
      </c>
      <c r="AE10" s="169">
        <f t="shared" si="3"/>
        <v>8</v>
      </c>
      <c r="AF10" s="169">
        <f t="shared" si="3"/>
        <v>4</v>
      </c>
      <c r="AG10" s="169">
        <f>AH10*2</f>
        <v>2</v>
      </c>
      <c r="AH10" s="170">
        <v>1</v>
      </c>
    </row>
    <row r="11" spans="1:36" ht="14.7" thickBot="1" x14ac:dyDescent="0.6">
      <c r="B11" s="171" t="s">
        <v>341</v>
      </c>
      <c r="C11" s="405">
        <f>IF(C12&lt;10,C12,DEC2HEX(C12))</f>
        <v>8</v>
      </c>
      <c r="D11" s="406"/>
      <c r="E11" s="406"/>
      <c r="F11" s="407"/>
      <c r="G11" s="405" t="str">
        <f>IF(G12&lt;10,G12,DEC2HEX(G12))</f>
        <v>C</v>
      </c>
      <c r="H11" s="406"/>
      <c r="I11" s="406"/>
      <c r="J11" s="407"/>
      <c r="K11" s="405">
        <f>IF(K12&lt;10,K12,DEC2HEX(K12))</f>
        <v>8</v>
      </c>
      <c r="L11" s="406"/>
      <c r="M11" s="406"/>
      <c r="N11" s="407"/>
      <c r="O11" s="405">
        <f>IF(O12&lt;10,O12,DEC2HEX(O12))</f>
        <v>5</v>
      </c>
      <c r="P11" s="406"/>
      <c r="Q11" s="406"/>
      <c r="R11" s="407"/>
      <c r="S11" s="405">
        <f>IF(S12&lt;10,S12,DEC2HEX(S12))</f>
        <v>4</v>
      </c>
      <c r="T11" s="406"/>
      <c r="U11" s="406"/>
      <c r="V11" s="407"/>
      <c r="W11" s="405">
        <f>IF(W12&lt;10,W12,DEC2HEX(W12))</f>
        <v>0</v>
      </c>
      <c r="X11" s="406"/>
      <c r="Y11" s="406"/>
      <c r="Z11" s="406"/>
      <c r="AA11" s="370">
        <f>IF(AA12&lt;10,AA12,DEC2HEX(AA12))</f>
        <v>8</v>
      </c>
      <c r="AB11" s="371"/>
      <c r="AC11" s="371"/>
      <c r="AD11" s="413"/>
      <c r="AE11" s="370">
        <f>IF(AE12&lt;10,AE12,DEC2HEX(AE12))</f>
        <v>1</v>
      </c>
      <c r="AF11" s="371"/>
      <c r="AG11" s="371"/>
      <c r="AH11" s="372"/>
    </row>
    <row r="12" spans="1:36" ht="14.7" thickBot="1" x14ac:dyDescent="0.6">
      <c r="C12" s="370">
        <f>ROUNDDOWN(C14/16,0)</f>
        <v>8</v>
      </c>
      <c r="D12" s="371"/>
      <c r="E12" s="371"/>
      <c r="F12" s="413"/>
      <c r="G12" s="414">
        <f>C14-16*C12</f>
        <v>12</v>
      </c>
      <c r="H12" s="371"/>
      <c r="I12" s="371"/>
      <c r="J12" s="372"/>
      <c r="K12" s="370">
        <f>ROUNDDOWN(K14/16,0)</f>
        <v>8</v>
      </c>
      <c r="L12" s="371"/>
      <c r="M12" s="371"/>
      <c r="N12" s="413"/>
      <c r="O12" s="414">
        <f>K14-16*K12</f>
        <v>5</v>
      </c>
      <c r="P12" s="371"/>
      <c r="Q12" s="371"/>
      <c r="R12" s="372"/>
      <c r="S12" s="370">
        <f>ROUNDDOWN(S14/16,0)</f>
        <v>4</v>
      </c>
      <c r="T12" s="371"/>
      <c r="U12" s="371"/>
      <c r="V12" s="413"/>
      <c r="W12" s="414">
        <f>S14-16*S12</f>
        <v>0</v>
      </c>
      <c r="X12" s="371"/>
      <c r="Y12" s="371"/>
      <c r="Z12" s="371"/>
      <c r="AA12" s="370">
        <f>ROUNDDOWN(AA14/16,0)</f>
        <v>8</v>
      </c>
      <c r="AB12" s="371"/>
      <c r="AC12" s="371"/>
      <c r="AD12" s="413"/>
      <c r="AE12" s="414">
        <f>AA14-16*AA12</f>
        <v>1</v>
      </c>
      <c r="AF12" s="371"/>
      <c r="AG12" s="371"/>
      <c r="AH12" s="372"/>
    </row>
    <row r="13" spans="1:36" ht="14.7" thickBot="1" x14ac:dyDescent="0.6">
      <c r="B13" t="s">
        <v>41</v>
      </c>
      <c r="C13" s="370" t="str">
        <f>DEC2HEX(C14)</f>
        <v>8C</v>
      </c>
      <c r="D13" s="371"/>
      <c r="E13" s="371"/>
      <c r="F13" s="371"/>
      <c r="G13" s="371"/>
      <c r="H13" s="371"/>
      <c r="I13" s="371"/>
      <c r="J13" s="372"/>
      <c r="K13" s="370" t="str">
        <f>DEC2HEX(K14)</f>
        <v>85</v>
      </c>
      <c r="L13" s="371"/>
      <c r="M13" s="371"/>
      <c r="N13" s="371"/>
      <c r="O13" s="371"/>
      <c r="P13" s="371"/>
      <c r="Q13" s="371"/>
      <c r="R13" s="372"/>
      <c r="S13" s="370" t="str">
        <f>DEC2HEX(S14)</f>
        <v>40</v>
      </c>
      <c r="T13" s="371"/>
      <c r="U13" s="371"/>
      <c r="V13" s="371"/>
      <c r="W13" s="371"/>
      <c r="X13" s="371"/>
      <c r="Y13" s="371"/>
      <c r="Z13" s="372"/>
      <c r="AA13" s="370" t="str">
        <f>DEC2HEX(AA14)</f>
        <v>81</v>
      </c>
      <c r="AB13" s="371"/>
      <c r="AC13" s="371"/>
      <c r="AD13" s="371"/>
      <c r="AE13" s="371"/>
      <c r="AF13" s="371"/>
      <c r="AG13" s="371"/>
      <c r="AH13" s="372"/>
    </row>
    <row r="14" spans="1:36" ht="14.7" thickBot="1" x14ac:dyDescent="0.6">
      <c r="B14" t="s">
        <v>335</v>
      </c>
      <c r="C14" s="370">
        <f>SUMPRODUCT(C10:J10,C6:J6)</f>
        <v>140</v>
      </c>
      <c r="D14" s="371"/>
      <c r="E14" s="371"/>
      <c r="F14" s="371"/>
      <c r="G14" s="371"/>
      <c r="H14" s="371"/>
      <c r="I14" s="371"/>
      <c r="J14" s="372"/>
      <c r="K14" s="370">
        <f>SUMPRODUCT(K10:R10,K6:R6)</f>
        <v>133</v>
      </c>
      <c r="L14" s="371"/>
      <c r="M14" s="371"/>
      <c r="N14" s="371"/>
      <c r="O14" s="371"/>
      <c r="P14" s="371"/>
      <c r="Q14" s="371"/>
      <c r="R14" s="372"/>
      <c r="S14" s="370">
        <f>SUMPRODUCT(S10:Z10,S6:Z6)</f>
        <v>64</v>
      </c>
      <c r="T14" s="371"/>
      <c r="U14" s="371"/>
      <c r="V14" s="371"/>
      <c r="W14" s="371"/>
      <c r="X14" s="371"/>
      <c r="Y14" s="371"/>
      <c r="Z14" s="371"/>
      <c r="AA14" s="373">
        <f>SUMPRODUCT(AA10:AH10,AA6:AH6)</f>
        <v>129</v>
      </c>
      <c r="AB14" s="374"/>
      <c r="AC14" s="374"/>
      <c r="AD14" s="374"/>
      <c r="AE14" s="374"/>
      <c r="AF14" s="374"/>
      <c r="AG14" s="374"/>
      <c r="AH14" s="375"/>
    </row>
    <row r="15" spans="1:36" s="172" customFormat="1" ht="15.3" thickBot="1" x14ac:dyDescent="0.55000000000000004">
      <c r="B15" s="172" t="s">
        <v>83</v>
      </c>
      <c r="F15" s="408">
        <f>SUMPRODUCT(F7:H7,F6:H6)</f>
        <v>3</v>
      </c>
      <c r="G15" s="409"/>
      <c r="H15" s="410"/>
      <c r="I15" s="408">
        <f>SUMPRODUCT(I7:L7,I6:L6)</f>
        <v>2</v>
      </c>
      <c r="J15" s="409"/>
      <c r="K15" s="409"/>
      <c r="L15" s="410"/>
      <c r="M15" s="408">
        <f>SUMPRODUCT(M7:P7,M6:P6)</f>
        <v>1</v>
      </c>
      <c r="N15" s="409"/>
      <c r="O15" s="409"/>
      <c r="P15" s="410"/>
      <c r="Q15" s="408">
        <f>SUMPRODUCT(Q7:T7,Q6:T6)</f>
        <v>5</v>
      </c>
      <c r="R15" s="409"/>
      <c r="S15" s="409"/>
      <c r="T15" s="410"/>
      <c r="U15" s="408">
        <f>SUMPRODUCT(U7:X7,U6:X6)</f>
        <v>0</v>
      </c>
      <c r="V15" s="409"/>
      <c r="W15" s="409"/>
      <c r="X15" s="410"/>
      <c r="AA15" s="173"/>
      <c r="AB15" s="174"/>
      <c r="AC15" s="174"/>
      <c r="AD15" s="174"/>
      <c r="AE15" s="174"/>
      <c r="AF15" s="174"/>
      <c r="AG15" s="174"/>
      <c r="AH15" s="175"/>
    </row>
    <row r="16" spans="1:36" ht="14.7" thickBot="1" x14ac:dyDescent="0.6">
      <c r="AA16" s="157"/>
      <c r="AB16" s="44"/>
      <c r="AC16" s="44"/>
      <c r="AD16" s="44"/>
      <c r="AE16" s="44"/>
      <c r="AF16" s="44"/>
      <c r="AG16" s="44"/>
      <c r="AH16" s="160"/>
    </row>
    <row r="17" spans="1:37" ht="20.399999999999999" thickBot="1" x14ac:dyDescent="0.75">
      <c r="B17" s="176"/>
      <c r="C17" s="177"/>
      <c r="D17" s="178"/>
      <c r="E17" s="178"/>
      <c r="F17" s="179"/>
      <c r="G17" s="180"/>
      <c r="H17" s="180"/>
      <c r="I17" s="181" t="s">
        <v>342</v>
      </c>
      <c r="J17" s="180"/>
      <c r="K17" s="402">
        <f>100+SUMPRODUCT(F1:X1,F$15:X$15)</f>
        <v>132.15</v>
      </c>
      <c r="L17" s="403"/>
      <c r="M17" s="403"/>
      <c r="N17" s="403"/>
      <c r="O17" s="403"/>
      <c r="P17" s="403"/>
      <c r="Q17" s="403"/>
      <c r="R17" s="404"/>
      <c r="AA17" s="182" t="s">
        <v>336</v>
      </c>
      <c r="AB17" s="183"/>
      <c r="AC17" s="184"/>
      <c r="AD17" s="183">
        <f>AG8</f>
        <v>2</v>
      </c>
      <c r="AE17" s="183">
        <f>AD8</f>
        <v>0</v>
      </c>
      <c r="AF17" s="185">
        <f>AA8</f>
        <v>1</v>
      </c>
      <c r="AG17" s="44"/>
      <c r="AH17" s="160"/>
    </row>
    <row r="18" spans="1:37" ht="20.399999999999999" thickBot="1" x14ac:dyDescent="0.75">
      <c r="B18" s="186"/>
      <c r="C18" s="187"/>
      <c r="D18" s="188"/>
      <c r="E18" s="188"/>
      <c r="F18" s="189"/>
      <c r="G18" s="190"/>
      <c r="H18" s="190"/>
      <c r="I18" s="191" t="s">
        <v>343</v>
      </c>
      <c r="J18" s="190"/>
      <c r="K18" s="402">
        <f>SUMPRODUCT(F2:X2,F$15:X$15)</f>
        <v>321.5</v>
      </c>
      <c r="L18" s="403"/>
      <c r="M18" s="403"/>
      <c r="N18" s="403"/>
      <c r="O18" s="403"/>
      <c r="P18" s="403"/>
      <c r="Q18" s="403"/>
      <c r="R18" s="404"/>
      <c r="AA18" s="192"/>
      <c r="AB18" s="193"/>
      <c r="AC18" s="194"/>
      <c r="AD18" s="193"/>
      <c r="AE18" s="193"/>
      <c r="AF18" s="195"/>
      <c r="AG18" s="163"/>
      <c r="AH18" s="164"/>
      <c r="AK18" s="340" t="s">
        <v>447</v>
      </c>
    </row>
    <row r="19" spans="1:37" ht="20.399999999999999" thickBot="1" x14ac:dyDescent="0.75">
      <c r="B19" s="196"/>
      <c r="C19" s="197"/>
      <c r="D19" s="198"/>
      <c r="E19" s="198"/>
      <c r="F19" s="199"/>
      <c r="G19" s="200"/>
      <c r="H19" s="200"/>
      <c r="I19" s="201" t="s">
        <v>344</v>
      </c>
      <c r="J19" s="200"/>
      <c r="K19" s="402">
        <f>SUMPRODUCT(F3:X3,F$15:X$15)</f>
        <v>3215</v>
      </c>
      <c r="L19" s="403"/>
      <c r="M19" s="403"/>
      <c r="N19" s="403"/>
      <c r="O19" s="403"/>
      <c r="P19" s="403"/>
      <c r="Q19" s="403"/>
      <c r="R19" s="404"/>
    </row>
    <row r="20" spans="1:37" ht="14.7" thickBot="1" x14ac:dyDescent="0.6"/>
    <row r="21" spans="1:37" ht="18" thickBot="1" x14ac:dyDescent="0.65">
      <c r="C21" s="378" t="s">
        <v>11</v>
      </c>
      <c r="D21" s="379"/>
      <c r="E21" s="378">
        <f>E6+2*D6</f>
        <v>0</v>
      </c>
      <c r="F21" s="380"/>
      <c r="G21" s="381"/>
    </row>
    <row r="22" spans="1:37" ht="18" thickBot="1" x14ac:dyDescent="0.65">
      <c r="C22" s="366" t="s">
        <v>1</v>
      </c>
      <c r="D22" s="367"/>
      <c r="E22" s="366">
        <f>Z6+2*Y6</f>
        <v>0</v>
      </c>
      <c r="F22" s="368"/>
      <c r="G22" s="369"/>
    </row>
    <row r="25" spans="1:37" x14ac:dyDescent="0.55000000000000004">
      <c r="A25" s="295" t="s">
        <v>463</v>
      </c>
    </row>
  </sheetData>
  <mergeCells count="60">
    <mergeCell ref="U1:X1"/>
    <mergeCell ref="A1:E1"/>
    <mergeCell ref="F1:H1"/>
    <mergeCell ref="I1:L1"/>
    <mergeCell ref="M1:P1"/>
    <mergeCell ref="Q1:T1"/>
    <mergeCell ref="AA8:AC8"/>
    <mergeCell ref="AD8:AF8"/>
    <mergeCell ref="AG8:AH8"/>
    <mergeCell ref="C2:C4"/>
    <mergeCell ref="F2:H2"/>
    <mergeCell ref="I2:L2"/>
    <mergeCell ref="M2:P2"/>
    <mergeCell ref="Q2:T2"/>
    <mergeCell ref="U2:X2"/>
    <mergeCell ref="F3:H3"/>
    <mergeCell ref="I3:L3"/>
    <mergeCell ref="M3:P3"/>
    <mergeCell ref="Q3:T3"/>
    <mergeCell ref="U3:X3"/>
    <mergeCell ref="D4:E4"/>
    <mergeCell ref="F4:X4"/>
    <mergeCell ref="Y4:Z4"/>
    <mergeCell ref="AA4:AH4"/>
    <mergeCell ref="AA11:AD11"/>
    <mergeCell ref="AE11:AH11"/>
    <mergeCell ref="C12:F12"/>
    <mergeCell ref="G12:J12"/>
    <mergeCell ref="K12:N12"/>
    <mergeCell ref="O12:R12"/>
    <mergeCell ref="S12:V12"/>
    <mergeCell ref="W12:Z12"/>
    <mergeCell ref="AA12:AD12"/>
    <mergeCell ref="AE12:AH12"/>
    <mergeCell ref="C11:F11"/>
    <mergeCell ref="G11:J11"/>
    <mergeCell ref="K11:N11"/>
    <mergeCell ref="O11:R11"/>
    <mergeCell ref="S11:V11"/>
    <mergeCell ref="W11:Z11"/>
    <mergeCell ref="K17:R17"/>
    <mergeCell ref="C13:J13"/>
    <mergeCell ref="K13:R13"/>
    <mergeCell ref="S13:Z13"/>
    <mergeCell ref="F15:H15"/>
    <mergeCell ref="I15:L15"/>
    <mergeCell ref="M15:P15"/>
    <mergeCell ref="Q15:T15"/>
    <mergeCell ref="U15:X15"/>
    <mergeCell ref="AA13:AH13"/>
    <mergeCell ref="C14:J14"/>
    <mergeCell ref="K14:R14"/>
    <mergeCell ref="S14:Z14"/>
    <mergeCell ref="AA14:AH14"/>
    <mergeCell ref="K18:R18"/>
    <mergeCell ref="K19:R19"/>
    <mergeCell ref="C21:D21"/>
    <mergeCell ref="E21:G21"/>
    <mergeCell ref="C22:D22"/>
    <mergeCell ref="E22:G22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workbookViewId="0"/>
  </sheetViews>
  <sheetFormatPr baseColWidth="10" defaultRowHeight="14.4" x14ac:dyDescent="0.55000000000000004"/>
  <cols>
    <col min="1" max="1" width="18.83984375" customWidth="1"/>
    <col min="2" max="2" width="65.41796875" customWidth="1"/>
    <col min="3" max="3" width="3.578125" customWidth="1"/>
    <col min="4" max="4" width="23.41796875" customWidth="1"/>
    <col min="5" max="5" width="15.26171875" customWidth="1"/>
    <col min="257" max="257" width="18.83984375" customWidth="1"/>
    <col min="258" max="258" width="65.41796875" customWidth="1"/>
    <col min="259" max="259" width="3.578125" customWidth="1"/>
    <col min="260" max="260" width="23.41796875" customWidth="1"/>
    <col min="261" max="261" width="15.26171875" customWidth="1"/>
    <col min="513" max="513" width="18.83984375" customWidth="1"/>
    <col min="514" max="514" width="65.41796875" customWidth="1"/>
    <col min="515" max="515" width="3.578125" customWidth="1"/>
    <col min="516" max="516" width="23.41796875" customWidth="1"/>
    <col min="517" max="517" width="15.26171875" customWidth="1"/>
    <col min="769" max="769" width="18.83984375" customWidth="1"/>
    <col min="770" max="770" width="65.41796875" customWidth="1"/>
    <col min="771" max="771" width="3.578125" customWidth="1"/>
    <col min="772" max="772" width="23.41796875" customWidth="1"/>
    <col min="773" max="773" width="15.26171875" customWidth="1"/>
    <col min="1025" max="1025" width="18.83984375" customWidth="1"/>
    <col min="1026" max="1026" width="65.41796875" customWidth="1"/>
    <col min="1027" max="1027" width="3.578125" customWidth="1"/>
    <col min="1028" max="1028" width="23.41796875" customWidth="1"/>
    <col min="1029" max="1029" width="15.26171875" customWidth="1"/>
    <col min="1281" max="1281" width="18.83984375" customWidth="1"/>
    <col min="1282" max="1282" width="65.41796875" customWidth="1"/>
    <col min="1283" max="1283" width="3.578125" customWidth="1"/>
    <col min="1284" max="1284" width="23.41796875" customWidth="1"/>
    <col min="1285" max="1285" width="15.26171875" customWidth="1"/>
    <col min="1537" max="1537" width="18.83984375" customWidth="1"/>
    <col min="1538" max="1538" width="65.41796875" customWidth="1"/>
    <col min="1539" max="1539" width="3.578125" customWidth="1"/>
    <col min="1540" max="1540" width="23.41796875" customWidth="1"/>
    <col min="1541" max="1541" width="15.26171875" customWidth="1"/>
    <col min="1793" max="1793" width="18.83984375" customWidth="1"/>
    <col min="1794" max="1794" width="65.41796875" customWidth="1"/>
    <col min="1795" max="1795" width="3.578125" customWidth="1"/>
    <col min="1796" max="1796" width="23.41796875" customWidth="1"/>
    <col min="1797" max="1797" width="15.26171875" customWidth="1"/>
    <col min="2049" max="2049" width="18.83984375" customWidth="1"/>
    <col min="2050" max="2050" width="65.41796875" customWidth="1"/>
    <col min="2051" max="2051" width="3.578125" customWidth="1"/>
    <col min="2052" max="2052" width="23.41796875" customWidth="1"/>
    <col min="2053" max="2053" width="15.26171875" customWidth="1"/>
    <col min="2305" max="2305" width="18.83984375" customWidth="1"/>
    <col min="2306" max="2306" width="65.41796875" customWidth="1"/>
    <col min="2307" max="2307" width="3.578125" customWidth="1"/>
    <col min="2308" max="2308" width="23.41796875" customWidth="1"/>
    <col min="2309" max="2309" width="15.26171875" customWidth="1"/>
    <col min="2561" max="2561" width="18.83984375" customWidth="1"/>
    <col min="2562" max="2562" width="65.41796875" customWidth="1"/>
    <col min="2563" max="2563" width="3.578125" customWidth="1"/>
    <col min="2564" max="2564" width="23.41796875" customWidth="1"/>
    <col min="2565" max="2565" width="15.26171875" customWidth="1"/>
    <col min="2817" max="2817" width="18.83984375" customWidth="1"/>
    <col min="2818" max="2818" width="65.41796875" customWidth="1"/>
    <col min="2819" max="2819" width="3.578125" customWidth="1"/>
    <col min="2820" max="2820" width="23.41796875" customWidth="1"/>
    <col min="2821" max="2821" width="15.26171875" customWidth="1"/>
    <col min="3073" max="3073" width="18.83984375" customWidth="1"/>
    <col min="3074" max="3074" width="65.41796875" customWidth="1"/>
    <col min="3075" max="3075" width="3.578125" customWidth="1"/>
    <col min="3076" max="3076" width="23.41796875" customWidth="1"/>
    <col min="3077" max="3077" width="15.26171875" customWidth="1"/>
    <col min="3329" max="3329" width="18.83984375" customWidth="1"/>
    <col min="3330" max="3330" width="65.41796875" customWidth="1"/>
    <col min="3331" max="3331" width="3.578125" customWidth="1"/>
    <col min="3332" max="3332" width="23.41796875" customWidth="1"/>
    <col min="3333" max="3333" width="15.26171875" customWidth="1"/>
    <col min="3585" max="3585" width="18.83984375" customWidth="1"/>
    <col min="3586" max="3586" width="65.41796875" customWidth="1"/>
    <col min="3587" max="3587" width="3.578125" customWidth="1"/>
    <col min="3588" max="3588" width="23.41796875" customWidth="1"/>
    <col min="3589" max="3589" width="15.26171875" customWidth="1"/>
    <col min="3841" max="3841" width="18.83984375" customWidth="1"/>
    <col min="3842" max="3842" width="65.41796875" customWidth="1"/>
    <col min="3843" max="3843" width="3.578125" customWidth="1"/>
    <col min="3844" max="3844" width="23.41796875" customWidth="1"/>
    <col min="3845" max="3845" width="15.26171875" customWidth="1"/>
    <col min="4097" max="4097" width="18.83984375" customWidth="1"/>
    <col min="4098" max="4098" width="65.41796875" customWidth="1"/>
    <col min="4099" max="4099" width="3.578125" customWidth="1"/>
    <col min="4100" max="4100" width="23.41796875" customWidth="1"/>
    <col min="4101" max="4101" width="15.26171875" customWidth="1"/>
    <col min="4353" max="4353" width="18.83984375" customWidth="1"/>
    <col min="4354" max="4354" width="65.41796875" customWidth="1"/>
    <col min="4355" max="4355" width="3.578125" customWidth="1"/>
    <col min="4356" max="4356" width="23.41796875" customWidth="1"/>
    <col min="4357" max="4357" width="15.26171875" customWidth="1"/>
    <col min="4609" max="4609" width="18.83984375" customWidth="1"/>
    <col min="4610" max="4610" width="65.41796875" customWidth="1"/>
    <col min="4611" max="4611" width="3.578125" customWidth="1"/>
    <col min="4612" max="4612" width="23.41796875" customWidth="1"/>
    <col min="4613" max="4613" width="15.26171875" customWidth="1"/>
    <col min="4865" max="4865" width="18.83984375" customWidth="1"/>
    <col min="4866" max="4866" width="65.41796875" customWidth="1"/>
    <col min="4867" max="4867" width="3.578125" customWidth="1"/>
    <col min="4868" max="4868" width="23.41796875" customWidth="1"/>
    <col min="4869" max="4869" width="15.26171875" customWidth="1"/>
    <col min="5121" max="5121" width="18.83984375" customWidth="1"/>
    <col min="5122" max="5122" width="65.41796875" customWidth="1"/>
    <col min="5123" max="5123" width="3.578125" customWidth="1"/>
    <col min="5124" max="5124" width="23.41796875" customWidth="1"/>
    <col min="5125" max="5125" width="15.26171875" customWidth="1"/>
    <col min="5377" max="5377" width="18.83984375" customWidth="1"/>
    <col min="5378" max="5378" width="65.41796875" customWidth="1"/>
    <col min="5379" max="5379" width="3.578125" customWidth="1"/>
    <col min="5380" max="5380" width="23.41796875" customWidth="1"/>
    <col min="5381" max="5381" width="15.26171875" customWidth="1"/>
    <col min="5633" max="5633" width="18.83984375" customWidth="1"/>
    <col min="5634" max="5634" width="65.41796875" customWidth="1"/>
    <col min="5635" max="5635" width="3.578125" customWidth="1"/>
    <col min="5636" max="5636" width="23.41796875" customWidth="1"/>
    <col min="5637" max="5637" width="15.26171875" customWidth="1"/>
    <col min="5889" max="5889" width="18.83984375" customWidth="1"/>
    <col min="5890" max="5890" width="65.41796875" customWidth="1"/>
    <col min="5891" max="5891" width="3.578125" customWidth="1"/>
    <col min="5892" max="5892" width="23.41796875" customWidth="1"/>
    <col min="5893" max="5893" width="15.26171875" customWidth="1"/>
    <col min="6145" max="6145" width="18.83984375" customWidth="1"/>
    <col min="6146" max="6146" width="65.41796875" customWidth="1"/>
    <col min="6147" max="6147" width="3.578125" customWidth="1"/>
    <col min="6148" max="6148" width="23.41796875" customWidth="1"/>
    <col min="6149" max="6149" width="15.26171875" customWidth="1"/>
    <col min="6401" max="6401" width="18.83984375" customWidth="1"/>
    <col min="6402" max="6402" width="65.41796875" customWidth="1"/>
    <col min="6403" max="6403" width="3.578125" customWidth="1"/>
    <col min="6404" max="6404" width="23.41796875" customWidth="1"/>
    <col min="6405" max="6405" width="15.26171875" customWidth="1"/>
    <col min="6657" max="6657" width="18.83984375" customWidth="1"/>
    <col min="6658" max="6658" width="65.41796875" customWidth="1"/>
    <col min="6659" max="6659" width="3.578125" customWidth="1"/>
    <col min="6660" max="6660" width="23.41796875" customWidth="1"/>
    <col min="6661" max="6661" width="15.26171875" customWidth="1"/>
    <col min="6913" max="6913" width="18.83984375" customWidth="1"/>
    <col min="6914" max="6914" width="65.41796875" customWidth="1"/>
    <col min="6915" max="6915" width="3.578125" customWidth="1"/>
    <col min="6916" max="6916" width="23.41796875" customWidth="1"/>
    <col min="6917" max="6917" width="15.26171875" customWidth="1"/>
    <col min="7169" max="7169" width="18.83984375" customWidth="1"/>
    <col min="7170" max="7170" width="65.41796875" customWidth="1"/>
    <col min="7171" max="7171" width="3.578125" customWidth="1"/>
    <col min="7172" max="7172" width="23.41796875" customWidth="1"/>
    <col min="7173" max="7173" width="15.26171875" customWidth="1"/>
    <col min="7425" max="7425" width="18.83984375" customWidth="1"/>
    <col min="7426" max="7426" width="65.41796875" customWidth="1"/>
    <col min="7427" max="7427" width="3.578125" customWidth="1"/>
    <col min="7428" max="7428" width="23.41796875" customWidth="1"/>
    <col min="7429" max="7429" width="15.26171875" customWidth="1"/>
    <col min="7681" max="7681" width="18.83984375" customWidth="1"/>
    <col min="7682" max="7682" width="65.41796875" customWidth="1"/>
    <col min="7683" max="7683" width="3.578125" customWidth="1"/>
    <col min="7684" max="7684" width="23.41796875" customWidth="1"/>
    <col min="7685" max="7685" width="15.26171875" customWidth="1"/>
    <col min="7937" max="7937" width="18.83984375" customWidth="1"/>
    <col min="7938" max="7938" width="65.41796875" customWidth="1"/>
    <col min="7939" max="7939" width="3.578125" customWidth="1"/>
    <col min="7940" max="7940" width="23.41796875" customWidth="1"/>
    <col min="7941" max="7941" width="15.26171875" customWidth="1"/>
    <col min="8193" max="8193" width="18.83984375" customWidth="1"/>
    <col min="8194" max="8194" width="65.41796875" customWidth="1"/>
    <col min="8195" max="8195" width="3.578125" customWidth="1"/>
    <col min="8196" max="8196" width="23.41796875" customWidth="1"/>
    <col min="8197" max="8197" width="15.26171875" customWidth="1"/>
    <col min="8449" max="8449" width="18.83984375" customWidth="1"/>
    <col min="8450" max="8450" width="65.41796875" customWidth="1"/>
    <col min="8451" max="8451" width="3.578125" customWidth="1"/>
    <col min="8452" max="8452" width="23.41796875" customWidth="1"/>
    <col min="8453" max="8453" width="15.26171875" customWidth="1"/>
    <col min="8705" max="8705" width="18.83984375" customWidth="1"/>
    <col min="8706" max="8706" width="65.41796875" customWidth="1"/>
    <col min="8707" max="8707" width="3.578125" customWidth="1"/>
    <col min="8708" max="8708" width="23.41796875" customWidth="1"/>
    <col min="8709" max="8709" width="15.26171875" customWidth="1"/>
    <col min="8961" max="8961" width="18.83984375" customWidth="1"/>
    <col min="8962" max="8962" width="65.41796875" customWidth="1"/>
    <col min="8963" max="8963" width="3.578125" customWidth="1"/>
    <col min="8964" max="8964" width="23.41796875" customWidth="1"/>
    <col min="8965" max="8965" width="15.26171875" customWidth="1"/>
    <col min="9217" max="9217" width="18.83984375" customWidth="1"/>
    <col min="9218" max="9218" width="65.41796875" customWidth="1"/>
    <col min="9219" max="9219" width="3.578125" customWidth="1"/>
    <col min="9220" max="9220" width="23.41796875" customWidth="1"/>
    <col min="9221" max="9221" width="15.26171875" customWidth="1"/>
    <col min="9473" max="9473" width="18.83984375" customWidth="1"/>
    <col min="9474" max="9474" width="65.41796875" customWidth="1"/>
    <col min="9475" max="9475" width="3.578125" customWidth="1"/>
    <col min="9476" max="9476" width="23.41796875" customWidth="1"/>
    <col min="9477" max="9477" width="15.26171875" customWidth="1"/>
    <col min="9729" max="9729" width="18.83984375" customWidth="1"/>
    <col min="9730" max="9730" width="65.41796875" customWidth="1"/>
    <col min="9731" max="9731" width="3.578125" customWidth="1"/>
    <col min="9732" max="9732" width="23.41796875" customWidth="1"/>
    <col min="9733" max="9733" width="15.26171875" customWidth="1"/>
    <col min="9985" max="9985" width="18.83984375" customWidth="1"/>
    <col min="9986" max="9986" width="65.41796875" customWidth="1"/>
    <col min="9987" max="9987" width="3.578125" customWidth="1"/>
    <col min="9988" max="9988" width="23.41796875" customWidth="1"/>
    <col min="9989" max="9989" width="15.26171875" customWidth="1"/>
    <col min="10241" max="10241" width="18.83984375" customWidth="1"/>
    <col min="10242" max="10242" width="65.41796875" customWidth="1"/>
    <col min="10243" max="10243" width="3.578125" customWidth="1"/>
    <col min="10244" max="10244" width="23.41796875" customWidth="1"/>
    <col min="10245" max="10245" width="15.26171875" customWidth="1"/>
    <col min="10497" max="10497" width="18.83984375" customWidth="1"/>
    <col min="10498" max="10498" width="65.41796875" customWidth="1"/>
    <col min="10499" max="10499" width="3.578125" customWidth="1"/>
    <col min="10500" max="10500" width="23.41796875" customWidth="1"/>
    <col min="10501" max="10501" width="15.26171875" customWidth="1"/>
    <col min="10753" max="10753" width="18.83984375" customWidth="1"/>
    <col min="10754" max="10754" width="65.41796875" customWidth="1"/>
    <col min="10755" max="10755" width="3.578125" customWidth="1"/>
    <col min="10756" max="10756" width="23.41796875" customWidth="1"/>
    <col min="10757" max="10757" width="15.26171875" customWidth="1"/>
    <col min="11009" max="11009" width="18.83984375" customWidth="1"/>
    <col min="11010" max="11010" width="65.41796875" customWidth="1"/>
    <col min="11011" max="11011" width="3.578125" customWidth="1"/>
    <col min="11012" max="11012" width="23.41796875" customWidth="1"/>
    <col min="11013" max="11013" width="15.26171875" customWidth="1"/>
    <col min="11265" max="11265" width="18.83984375" customWidth="1"/>
    <col min="11266" max="11266" width="65.41796875" customWidth="1"/>
    <col min="11267" max="11267" width="3.578125" customWidth="1"/>
    <col min="11268" max="11268" width="23.41796875" customWidth="1"/>
    <col min="11269" max="11269" width="15.26171875" customWidth="1"/>
    <col min="11521" max="11521" width="18.83984375" customWidth="1"/>
    <col min="11522" max="11522" width="65.41796875" customWidth="1"/>
    <col min="11523" max="11523" width="3.578125" customWidth="1"/>
    <col min="11524" max="11524" width="23.41796875" customWidth="1"/>
    <col min="11525" max="11525" width="15.26171875" customWidth="1"/>
    <col min="11777" max="11777" width="18.83984375" customWidth="1"/>
    <col min="11778" max="11778" width="65.41796875" customWidth="1"/>
    <col min="11779" max="11779" width="3.578125" customWidth="1"/>
    <col min="11780" max="11780" width="23.41796875" customWidth="1"/>
    <col min="11781" max="11781" width="15.26171875" customWidth="1"/>
    <col min="12033" max="12033" width="18.83984375" customWidth="1"/>
    <col min="12034" max="12034" width="65.41796875" customWidth="1"/>
    <col min="12035" max="12035" width="3.578125" customWidth="1"/>
    <col min="12036" max="12036" width="23.41796875" customWidth="1"/>
    <col min="12037" max="12037" width="15.26171875" customWidth="1"/>
    <col min="12289" max="12289" width="18.83984375" customWidth="1"/>
    <col min="12290" max="12290" width="65.41796875" customWidth="1"/>
    <col min="12291" max="12291" width="3.578125" customWidth="1"/>
    <col min="12292" max="12292" width="23.41796875" customWidth="1"/>
    <col min="12293" max="12293" width="15.26171875" customWidth="1"/>
    <col min="12545" max="12545" width="18.83984375" customWidth="1"/>
    <col min="12546" max="12546" width="65.41796875" customWidth="1"/>
    <col min="12547" max="12547" width="3.578125" customWidth="1"/>
    <col min="12548" max="12548" width="23.41796875" customWidth="1"/>
    <col min="12549" max="12549" width="15.26171875" customWidth="1"/>
    <col min="12801" max="12801" width="18.83984375" customWidth="1"/>
    <col min="12802" max="12802" width="65.41796875" customWidth="1"/>
    <col min="12803" max="12803" width="3.578125" customWidth="1"/>
    <col min="12804" max="12804" width="23.41796875" customWidth="1"/>
    <col min="12805" max="12805" width="15.26171875" customWidth="1"/>
    <col min="13057" max="13057" width="18.83984375" customWidth="1"/>
    <col min="13058" max="13058" width="65.41796875" customWidth="1"/>
    <col min="13059" max="13059" width="3.578125" customWidth="1"/>
    <col min="13060" max="13060" width="23.41796875" customWidth="1"/>
    <col min="13061" max="13061" width="15.26171875" customWidth="1"/>
    <col min="13313" max="13313" width="18.83984375" customWidth="1"/>
    <col min="13314" max="13314" width="65.41796875" customWidth="1"/>
    <col min="13315" max="13315" width="3.578125" customWidth="1"/>
    <col min="13316" max="13316" width="23.41796875" customWidth="1"/>
    <col min="13317" max="13317" width="15.26171875" customWidth="1"/>
    <col min="13569" max="13569" width="18.83984375" customWidth="1"/>
    <col min="13570" max="13570" width="65.41796875" customWidth="1"/>
    <col min="13571" max="13571" width="3.578125" customWidth="1"/>
    <col min="13572" max="13572" width="23.41796875" customWidth="1"/>
    <col min="13573" max="13573" width="15.26171875" customWidth="1"/>
    <col min="13825" max="13825" width="18.83984375" customWidth="1"/>
    <col min="13826" max="13826" width="65.41796875" customWidth="1"/>
    <col min="13827" max="13827" width="3.578125" customWidth="1"/>
    <col min="13828" max="13828" width="23.41796875" customWidth="1"/>
    <col min="13829" max="13829" width="15.26171875" customWidth="1"/>
    <col min="14081" max="14081" width="18.83984375" customWidth="1"/>
    <col min="14082" max="14082" width="65.41796875" customWidth="1"/>
    <col min="14083" max="14083" width="3.578125" customWidth="1"/>
    <col min="14084" max="14084" width="23.41796875" customWidth="1"/>
    <col min="14085" max="14085" width="15.26171875" customWidth="1"/>
    <col min="14337" max="14337" width="18.83984375" customWidth="1"/>
    <col min="14338" max="14338" width="65.41796875" customWidth="1"/>
    <col min="14339" max="14339" width="3.578125" customWidth="1"/>
    <col min="14340" max="14340" width="23.41796875" customWidth="1"/>
    <col min="14341" max="14341" width="15.26171875" customWidth="1"/>
    <col min="14593" max="14593" width="18.83984375" customWidth="1"/>
    <col min="14594" max="14594" width="65.41796875" customWidth="1"/>
    <col min="14595" max="14595" width="3.578125" customWidth="1"/>
    <col min="14596" max="14596" width="23.41796875" customWidth="1"/>
    <col min="14597" max="14597" width="15.26171875" customWidth="1"/>
    <col min="14849" max="14849" width="18.83984375" customWidth="1"/>
    <col min="14850" max="14850" width="65.41796875" customWidth="1"/>
    <col min="14851" max="14851" width="3.578125" customWidth="1"/>
    <col min="14852" max="14852" width="23.41796875" customWidth="1"/>
    <col min="14853" max="14853" width="15.26171875" customWidth="1"/>
    <col min="15105" max="15105" width="18.83984375" customWidth="1"/>
    <col min="15106" max="15106" width="65.41796875" customWidth="1"/>
    <col min="15107" max="15107" width="3.578125" customWidth="1"/>
    <col min="15108" max="15108" width="23.41796875" customWidth="1"/>
    <col min="15109" max="15109" width="15.26171875" customWidth="1"/>
    <col min="15361" max="15361" width="18.83984375" customWidth="1"/>
    <col min="15362" max="15362" width="65.41796875" customWidth="1"/>
    <col min="15363" max="15363" width="3.578125" customWidth="1"/>
    <col min="15364" max="15364" width="23.41796875" customWidth="1"/>
    <col min="15365" max="15365" width="15.26171875" customWidth="1"/>
    <col min="15617" max="15617" width="18.83984375" customWidth="1"/>
    <col min="15618" max="15618" width="65.41796875" customWidth="1"/>
    <col min="15619" max="15619" width="3.578125" customWidth="1"/>
    <col min="15620" max="15620" width="23.41796875" customWidth="1"/>
    <col min="15621" max="15621" width="15.26171875" customWidth="1"/>
    <col min="15873" max="15873" width="18.83984375" customWidth="1"/>
    <col min="15874" max="15874" width="65.41796875" customWidth="1"/>
    <col min="15875" max="15875" width="3.578125" customWidth="1"/>
    <col min="15876" max="15876" width="23.41796875" customWidth="1"/>
    <col min="15877" max="15877" width="15.26171875" customWidth="1"/>
    <col min="16129" max="16129" width="18.83984375" customWidth="1"/>
    <col min="16130" max="16130" width="65.41796875" customWidth="1"/>
    <col min="16131" max="16131" width="3.578125" customWidth="1"/>
    <col min="16132" max="16132" width="23.41796875" customWidth="1"/>
    <col min="16133" max="16133" width="15.26171875" customWidth="1"/>
  </cols>
  <sheetData>
    <row r="2" spans="1:2" ht="17.399999999999999" x14ac:dyDescent="0.55000000000000004">
      <c r="A2" s="96" t="s">
        <v>274</v>
      </c>
    </row>
    <row r="3" spans="1:2" ht="15.3" x14ac:dyDescent="0.55000000000000004">
      <c r="A3" s="86"/>
    </row>
    <row r="4" spans="1:2" ht="15.3" x14ac:dyDescent="0.55000000000000004">
      <c r="A4" s="86"/>
    </row>
    <row r="5" spans="1:2" ht="15.3" x14ac:dyDescent="0.55000000000000004">
      <c r="A5" s="86" t="s">
        <v>275</v>
      </c>
    </row>
    <row r="6" spans="1:2" ht="15.3" x14ac:dyDescent="0.55000000000000004">
      <c r="A6" s="86" t="s">
        <v>276</v>
      </c>
    </row>
    <row r="7" spans="1:2" ht="15.3" x14ac:dyDescent="0.55000000000000004">
      <c r="A7" s="86"/>
    </row>
    <row r="8" spans="1:2" ht="15.3" x14ac:dyDescent="0.55000000000000004">
      <c r="A8" s="86"/>
    </row>
    <row r="9" spans="1:2" ht="15.3" x14ac:dyDescent="0.55000000000000004">
      <c r="A9" s="86"/>
    </row>
    <row r="10" spans="1:2" ht="15.3" x14ac:dyDescent="0.55000000000000004">
      <c r="A10" s="86"/>
    </row>
    <row r="11" spans="1:2" ht="15.3" x14ac:dyDescent="0.55000000000000004">
      <c r="A11" s="86"/>
    </row>
    <row r="12" spans="1:2" ht="15.3" x14ac:dyDescent="0.55000000000000004">
      <c r="A12" s="86" t="s">
        <v>277</v>
      </c>
    </row>
    <row r="13" spans="1:2" ht="15.6" thickBot="1" x14ac:dyDescent="0.6">
      <c r="A13" s="86"/>
    </row>
    <row r="14" spans="1:2" ht="15.6" thickTop="1" thickBot="1" x14ac:dyDescent="0.6">
      <c r="A14" s="97" t="s">
        <v>278</v>
      </c>
      <c r="B14" s="98" t="s">
        <v>279</v>
      </c>
    </row>
    <row r="15" spans="1:2" ht="15.9" thickTop="1" thickBot="1" x14ac:dyDescent="0.6">
      <c r="A15" s="99" t="s">
        <v>280</v>
      </c>
      <c r="B15" s="100" t="s">
        <v>281</v>
      </c>
    </row>
    <row r="16" spans="1:2" ht="15.6" thickBot="1" x14ac:dyDescent="0.6">
      <c r="A16" s="99" t="s">
        <v>282</v>
      </c>
      <c r="B16" s="100" t="s">
        <v>283</v>
      </c>
    </row>
    <row r="17" spans="1:6" ht="15.6" thickBot="1" x14ac:dyDescent="0.6">
      <c r="A17" s="99" t="s">
        <v>284</v>
      </c>
      <c r="B17" s="100" t="s">
        <v>285</v>
      </c>
    </row>
    <row r="18" spans="1:6" ht="15.6" thickBot="1" x14ac:dyDescent="0.6">
      <c r="A18" s="99" t="s">
        <v>286</v>
      </c>
      <c r="B18" s="100" t="s">
        <v>287</v>
      </c>
    </row>
    <row r="19" spans="1:6" ht="15.6" thickBot="1" x14ac:dyDescent="0.6">
      <c r="A19" s="99" t="s">
        <v>288</v>
      </c>
      <c r="B19" s="100" t="s">
        <v>289</v>
      </c>
    </row>
    <row r="20" spans="1:6" ht="15.6" thickBot="1" x14ac:dyDescent="0.6">
      <c r="A20" s="99" t="s">
        <v>290</v>
      </c>
      <c r="B20" s="100" t="s">
        <v>291</v>
      </c>
    </row>
    <row r="21" spans="1:6" ht="15.6" thickBot="1" x14ac:dyDescent="0.6">
      <c r="A21" s="99" t="s">
        <v>292</v>
      </c>
      <c r="B21" s="100" t="s">
        <v>293</v>
      </c>
    </row>
    <row r="22" spans="1:6" ht="15.6" thickBot="1" x14ac:dyDescent="0.6">
      <c r="A22" s="101" t="s">
        <v>294</v>
      </c>
      <c r="B22" s="102" t="s">
        <v>295</v>
      </c>
    </row>
    <row r="23" spans="1:6" ht="15.6" thickTop="1" x14ac:dyDescent="0.55000000000000004">
      <c r="A23" s="86"/>
    </row>
    <row r="24" spans="1:6" ht="15.3" x14ac:dyDescent="0.55000000000000004">
      <c r="A24" s="86" t="s">
        <v>296</v>
      </c>
      <c r="D24" s="86" t="s">
        <v>297</v>
      </c>
    </row>
    <row r="25" spans="1:6" ht="15.6" thickBot="1" x14ac:dyDescent="0.6">
      <c r="A25" s="86"/>
    </row>
    <row r="26" spans="1:6" ht="18" thickTop="1" thickBot="1" x14ac:dyDescent="0.6">
      <c r="A26" s="103" t="s">
        <v>263</v>
      </c>
      <c r="B26" s="104" t="s">
        <v>264</v>
      </c>
      <c r="D26" s="105" t="s">
        <v>298</v>
      </c>
    </row>
    <row r="27" spans="1:6" ht="15.9" thickTop="1" thickBot="1" x14ac:dyDescent="0.6">
      <c r="A27" s="106" t="s">
        <v>265</v>
      </c>
      <c r="B27" s="107" t="s">
        <v>299</v>
      </c>
      <c r="D27" s="86"/>
    </row>
    <row r="28" spans="1:6" ht="15.6" thickBot="1" x14ac:dyDescent="0.6">
      <c r="A28" s="106" t="s">
        <v>266</v>
      </c>
      <c r="B28" s="107" t="s">
        <v>300</v>
      </c>
      <c r="D28" s="86"/>
    </row>
    <row r="29" spans="1:6" ht="30.9" thickBot="1" x14ac:dyDescent="0.6">
      <c r="A29" s="106" t="s">
        <v>268</v>
      </c>
      <c r="B29" s="107" t="s">
        <v>301</v>
      </c>
      <c r="D29" s="108" t="s">
        <v>302</v>
      </c>
      <c r="E29" s="109" t="s">
        <v>303</v>
      </c>
      <c r="F29" s="109" t="s">
        <v>304</v>
      </c>
    </row>
    <row r="30" spans="1:6" ht="15.6" thickBot="1" x14ac:dyDescent="0.6">
      <c r="A30" s="106" t="s">
        <v>270</v>
      </c>
      <c r="B30" s="107" t="s">
        <v>305</v>
      </c>
      <c r="D30" s="110" t="s">
        <v>306</v>
      </c>
      <c r="E30" s="111">
        <v>320</v>
      </c>
      <c r="F30" s="111" t="s">
        <v>307</v>
      </c>
    </row>
    <row r="31" spans="1:6" ht="15.6" thickBot="1" x14ac:dyDescent="0.6">
      <c r="A31" s="112" t="s">
        <v>272</v>
      </c>
      <c r="B31" s="113" t="s">
        <v>308</v>
      </c>
      <c r="D31" s="110" t="s">
        <v>309</v>
      </c>
      <c r="E31" s="111">
        <v>222</v>
      </c>
      <c r="F31" s="111" t="s">
        <v>310</v>
      </c>
    </row>
    <row r="32" spans="1:6" ht="15.9" thickTop="1" thickBot="1" x14ac:dyDescent="0.6">
      <c r="A32" s="86"/>
      <c r="D32" s="110" t="s">
        <v>311</v>
      </c>
      <c r="E32" s="111">
        <v>222</v>
      </c>
      <c r="F32" s="111" t="s">
        <v>312</v>
      </c>
    </row>
    <row r="33" spans="1:6" ht="15.6" thickBot="1" x14ac:dyDescent="0.6">
      <c r="A33" s="86" t="s">
        <v>313</v>
      </c>
      <c r="D33" s="110" t="s">
        <v>314</v>
      </c>
      <c r="E33" s="111" t="s">
        <v>315</v>
      </c>
      <c r="F33" s="111" t="s">
        <v>316</v>
      </c>
    </row>
    <row r="34" spans="1:6" ht="15.6" thickBot="1" x14ac:dyDescent="0.6">
      <c r="D34" s="110" t="s">
        <v>317</v>
      </c>
      <c r="E34" s="111" t="s">
        <v>315</v>
      </c>
      <c r="F34" s="111" t="s">
        <v>318</v>
      </c>
    </row>
    <row r="35" spans="1:6" ht="15.6" thickBot="1" x14ac:dyDescent="0.6">
      <c r="D35" s="110" t="s">
        <v>254</v>
      </c>
      <c r="E35" s="111">
        <v>101</v>
      </c>
      <c r="F35" s="111" t="s">
        <v>255</v>
      </c>
    </row>
    <row r="36" spans="1:6" ht="15.3" x14ac:dyDescent="0.55000000000000004">
      <c r="D36" s="8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C4" sqref="C4"/>
    </sheetView>
  </sheetViews>
  <sheetFormatPr baseColWidth="10" defaultRowHeight="14.4" x14ac:dyDescent="0.55000000000000004"/>
  <cols>
    <col min="1" max="1" width="11.578125" style="203" customWidth="1"/>
    <col min="2" max="5" width="9.15625" customWidth="1"/>
    <col min="6" max="6" width="9.15625" style="204" customWidth="1"/>
    <col min="7" max="7" width="4" customWidth="1"/>
    <col min="8" max="8" width="5.578125" customWidth="1"/>
    <col min="11" max="11" width="3.83984375" customWidth="1"/>
    <col min="12" max="12" width="5.578125" customWidth="1"/>
    <col min="15" max="15" width="4.26171875" customWidth="1"/>
    <col min="16" max="16" width="5.578125" customWidth="1"/>
    <col min="18" max="18" width="10" customWidth="1"/>
    <col min="19" max="19" width="3.83984375" customWidth="1"/>
    <col min="20" max="20" width="5.578125" customWidth="1"/>
    <col min="22" max="22" width="9.15625" customWidth="1"/>
    <col min="257" max="257" width="11.578125" customWidth="1"/>
    <col min="258" max="262" width="9.15625" customWidth="1"/>
    <col min="263" max="263" width="4" customWidth="1"/>
    <col min="264" max="264" width="5.578125" customWidth="1"/>
    <col min="267" max="267" width="3.83984375" customWidth="1"/>
    <col min="268" max="268" width="5.578125" customWidth="1"/>
    <col min="271" max="271" width="4.26171875" customWidth="1"/>
    <col min="272" max="272" width="5.578125" customWidth="1"/>
    <col min="274" max="274" width="10" customWidth="1"/>
    <col min="275" max="275" width="3.83984375" customWidth="1"/>
    <col min="276" max="276" width="5.578125" customWidth="1"/>
    <col min="278" max="278" width="9.15625" customWidth="1"/>
    <col min="513" max="513" width="11.578125" customWidth="1"/>
    <col min="514" max="518" width="9.15625" customWidth="1"/>
    <col min="519" max="519" width="4" customWidth="1"/>
    <col min="520" max="520" width="5.578125" customWidth="1"/>
    <col min="523" max="523" width="3.83984375" customWidth="1"/>
    <col min="524" max="524" width="5.578125" customWidth="1"/>
    <col min="527" max="527" width="4.26171875" customWidth="1"/>
    <col min="528" max="528" width="5.578125" customWidth="1"/>
    <col min="530" max="530" width="10" customWidth="1"/>
    <col min="531" max="531" width="3.83984375" customWidth="1"/>
    <col min="532" max="532" width="5.578125" customWidth="1"/>
    <col min="534" max="534" width="9.15625" customWidth="1"/>
    <col min="769" max="769" width="11.578125" customWidth="1"/>
    <col min="770" max="774" width="9.15625" customWidth="1"/>
    <col min="775" max="775" width="4" customWidth="1"/>
    <col min="776" max="776" width="5.578125" customWidth="1"/>
    <col min="779" max="779" width="3.83984375" customWidth="1"/>
    <col min="780" max="780" width="5.578125" customWidth="1"/>
    <col min="783" max="783" width="4.26171875" customWidth="1"/>
    <col min="784" max="784" width="5.578125" customWidth="1"/>
    <col min="786" max="786" width="10" customWidth="1"/>
    <col min="787" max="787" width="3.83984375" customWidth="1"/>
    <col min="788" max="788" width="5.578125" customWidth="1"/>
    <col min="790" max="790" width="9.15625" customWidth="1"/>
    <col min="1025" max="1025" width="11.578125" customWidth="1"/>
    <col min="1026" max="1030" width="9.15625" customWidth="1"/>
    <col min="1031" max="1031" width="4" customWidth="1"/>
    <col min="1032" max="1032" width="5.578125" customWidth="1"/>
    <col min="1035" max="1035" width="3.83984375" customWidth="1"/>
    <col min="1036" max="1036" width="5.578125" customWidth="1"/>
    <col min="1039" max="1039" width="4.26171875" customWidth="1"/>
    <col min="1040" max="1040" width="5.578125" customWidth="1"/>
    <col min="1042" max="1042" width="10" customWidth="1"/>
    <col min="1043" max="1043" width="3.83984375" customWidth="1"/>
    <col min="1044" max="1044" width="5.578125" customWidth="1"/>
    <col min="1046" max="1046" width="9.15625" customWidth="1"/>
    <col min="1281" max="1281" width="11.578125" customWidth="1"/>
    <col min="1282" max="1286" width="9.15625" customWidth="1"/>
    <col min="1287" max="1287" width="4" customWidth="1"/>
    <col min="1288" max="1288" width="5.578125" customWidth="1"/>
    <col min="1291" max="1291" width="3.83984375" customWidth="1"/>
    <col min="1292" max="1292" width="5.578125" customWidth="1"/>
    <col min="1295" max="1295" width="4.26171875" customWidth="1"/>
    <col min="1296" max="1296" width="5.578125" customWidth="1"/>
    <col min="1298" max="1298" width="10" customWidth="1"/>
    <col min="1299" max="1299" width="3.83984375" customWidth="1"/>
    <col min="1300" max="1300" width="5.578125" customWidth="1"/>
    <col min="1302" max="1302" width="9.15625" customWidth="1"/>
    <col min="1537" max="1537" width="11.578125" customWidth="1"/>
    <col min="1538" max="1542" width="9.15625" customWidth="1"/>
    <col min="1543" max="1543" width="4" customWidth="1"/>
    <col min="1544" max="1544" width="5.578125" customWidth="1"/>
    <col min="1547" max="1547" width="3.83984375" customWidth="1"/>
    <col min="1548" max="1548" width="5.578125" customWidth="1"/>
    <col min="1551" max="1551" width="4.26171875" customWidth="1"/>
    <col min="1552" max="1552" width="5.578125" customWidth="1"/>
    <col min="1554" max="1554" width="10" customWidth="1"/>
    <col min="1555" max="1555" width="3.83984375" customWidth="1"/>
    <col min="1556" max="1556" width="5.578125" customWidth="1"/>
    <col min="1558" max="1558" width="9.15625" customWidth="1"/>
    <col min="1793" max="1793" width="11.578125" customWidth="1"/>
    <col min="1794" max="1798" width="9.15625" customWidth="1"/>
    <col min="1799" max="1799" width="4" customWidth="1"/>
    <col min="1800" max="1800" width="5.578125" customWidth="1"/>
    <col min="1803" max="1803" width="3.83984375" customWidth="1"/>
    <col min="1804" max="1804" width="5.578125" customWidth="1"/>
    <col min="1807" max="1807" width="4.26171875" customWidth="1"/>
    <col min="1808" max="1808" width="5.578125" customWidth="1"/>
    <col min="1810" max="1810" width="10" customWidth="1"/>
    <col min="1811" max="1811" width="3.83984375" customWidth="1"/>
    <col min="1812" max="1812" width="5.578125" customWidth="1"/>
    <col min="1814" max="1814" width="9.15625" customWidth="1"/>
    <col min="2049" max="2049" width="11.578125" customWidth="1"/>
    <col min="2050" max="2054" width="9.15625" customWidth="1"/>
    <col min="2055" max="2055" width="4" customWidth="1"/>
    <col min="2056" max="2056" width="5.578125" customWidth="1"/>
    <col min="2059" max="2059" width="3.83984375" customWidth="1"/>
    <col min="2060" max="2060" width="5.578125" customWidth="1"/>
    <col min="2063" max="2063" width="4.26171875" customWidth="1"/>
    <col min="2064" max="2064" width="5.578125" customWidth="1"/>
    <col min="2066" max="2066" width="10" customWidth="1"/>
    <col min="2067" max="2067" width="3.83984375" customWidth="1"/>
    <col min="2068" max="2068" width="5.578125" customWidth="1"/>
    <col min="2070" max="2070" width="9.15625" customWidth="1"/>
    <col min="2305" max="2305" width="11.578125" customWidth="1"/>
    <col min="2306" max="2310" width="9.15625" customWidth="1"/>
    <col min="2311" max="2311" width="4" customWidth="1"/>
    <col min="2312" max="2312" width="5.578125" customWidth="1"/>
    <col min="2315" max="2315" width="3.83984375" customWidth="1"/>
    <col min="2316" max="2316" width="5.578125" customWidth="1"/>
    <col min="2319" max="2319" width="4.26171875" customWidth="1"/>
    <col min="2320" max="2320" width="5.578125" customWidth="1"/>
    <col min="2322" max="2322" width="10" customWidth="1"/>
    <col min="2323" max="2323" width="3.83984375" customWidth="1"/>
    <col min="2324" max="2324" width="5.578125" customWidth="1"/>
    <col min="2326" max="2326" width="9.15625" customWidth="1"/>
    <col min="2561" max="2561" width="11.578125" customWidth="1"/>
    <col min="2562" max="2566" width="9.15625" customWidth="1"/>
    <col min="2567" max="2567" width="4" customWidth="1"/>
    <col min="2568" max="2568" width="5.578125" customWidth="1"/>
    <col min="2571" max="2571" width="3.83984375" customWidth="1"/>
    <col min="2572" max="2572" width="5.578125" customWidth="1"/>
    <col min="2575" max="2575" width="4.26171875" customWidth="1"/>
    <col min="2576" max="2576" width="5.578125" customWidth="1"/>
    <col min="2578" max="2578" width="10" customWidth="1"/>
    <col min="2579" max="2579" width="3.83984375" customWidth="1"/>
    <col min="2580" max="2580" width="5.578125" customWidth="1"/>
    <col min="2582" max="2582" width="9.15625" customWidth="1"/>
    <col min="2817" max="2817" width="11.578125" customWidth="1"/>
    <col min="2818" max="2822" width="9.15625" customWidth="1"/>
    <col min="2823" max="2823" width="4" customWidth="1"/>
    <col min="2824" max="2824" width="5.578125" customWidth="1"/>
    <col min="2827" max="2827" width="3.83984375" customWidth="1"/>
    <col min="2828" max="2828" width="5.578125" customWidth="1"/>
    <col min="2831" max="2831" width="4.26171875" customWidth="1"/>
    <col min="2832" max="2832" width="5.578125" customWidth="1"/>
    <col min="2834" max="2834" width="10" customWidth="1"/>
    <col min="2835" max="2835" width="3.83984375" customWidth="1"/>
    <col min="2836" max="2836" width="5.578125" customWidth="1"/>
    <col min="2838" max="2838" width="9.15625" customWidth="1"/>
    <col min="3073" max="3073" width="11.578125" customWidth="1"/>
    <col min="3074" max="3078" width="9.15625" customWidth="1"/>
    <col min="3079" max="3079" width="4" customWidth="1"/>
    <col min="3080" max="3080" width="5.578125" customWidth="1"/>
    <col min="3083" max="3083" width="3.83984375" customWidth="1"/>
    <col min="3084" max="3084" width="5.578125" customWidth="1"/>
    <col min="3087" max="3087" width="4.26171875" customWidth="1"/>
    <col min="3088" max="3088" width="5.578125" customWidth="1"/>
    <col min="3090" max="3090" width="10" customWidth="1"/>
    <col min="3091" max="3091" width="3.83984375" customWidth="1"/>
    <col min="3092" max="3092" width="5.578125" customWidth="1"/>
    <col min="3094" max="3094" width="9.15625" customWidth="1"/>
    <col min="3329" max="3329" width="11.578125" customWidth="1"/>
    <col min="3330" max="3334" width="9.15625" customWidth="1"/>
    <col min="3335" max="3335" width="4" customWidth="1"/>
    <col min="3336" max="3336" width="5.578125" customWidth="1"/>
    <col min="3339" max="3339" width="3.83984375" customWidth="1"/>
    <col min="3340" max="3340" width="5.578125" customWidth="1"/>
    <col min="3343" max="3343" width="4.26171875" customWidth="1"/>
    <col min="3344" max="3344" width="5.578125" customWidth="1"/>
    <col min="3346" max="3346" width="10" customWidth="1"/>
    <col min="3347" max="3347" width="3.83984375" customWidth="1"/>
    <col min="3348" max="3348" width="5.578125" customWidth="1"/>
    <col min="3350" max="3350" width="9.15625" customWidth="1"/>
    <col min="3585" max="3585" width="11.578125" customWidth="1"/>
    <col min="3586" max="3590" width="9.15625" customWidth="1"/>
    <col min="3591" max="3591" width="4" customWidth="1"/>
    <col min="3592" max="3592" width="5.578125" customWidth="1"/>
    <col min="3595" max="3595" width="3.83984375" customWidth="1"/>
    <col min="3596" max="3596" width="5.578125" customWidth="1"/>
    <col min="3599" max="3599" width="4.26171875" customWidth="1"/>
    <col min="3600" max="3600" width="5.578125" customWidth="1"/>
    <col min="3602" max="3602" width="10" customWidth="1"/>
    <col min="3603" max="3603" width="3.83984375" customWidth="1"/>
    <col min="3604" max="3604" width="5.578125" customWidth="1"/>
    <col min="3606" max="3606" width="9.15625" customWidth="1"/>
    <col min="3841" max="3841" width="11.578125" customWidth="1"/>
    <col min="3842" max="3846" width="9.15625" customWidth="1"/>
    <col min="3847" max="3847" width="4" customWidth="1"/>
    <col min="3848" max="3848" width="5.578125" customWidth="1"/>
    <col min="3851" max="3851" width="3.83984375" customWidth="1"/>
    <col min="3852" max="3852" width="5.578125" customWidth="1"/>
    <col min="3855" max="3855" width="4.26171875" customWidth="1"/>
    <col min="3856" max="3856" width="5.578125" customWidth="1"/>
    <col min="3858" max="3858" width="10" customWidth="1"/>
    <col min="3859" max="3859" width="3.83984375" customWidth="1"/>
    <col min="3860" max="3860" width="5.578125" customWidth="1"/>
    <col min="3862" max="3862" width="9.15625" customWidth="1"/>
    <col min="4097" max="4097" width="11.578125" customWidth="1"/>
    <col min="4098" max="4102" width="9.15625" customWidth="1"/>
    <col min="4103" max="4103" width="4" customWidth="1"/>
    <col min="4104" max="4104" width="5.578125" customWidth="1"/>
    <col min="4107" max="4107" width="3.83984375" customWidth="1"/>
    <col min="4108" max="4108" width="5.578125" customWidth="1"/>
    <col min="4111" max="4111" width="4.26171875" customWidth="1"/>
    <col min="4112" max="4112" width="5.578125" customWidth="1"/>
    <col min="4114" max="4114" width="10" customWidth="1"/>
    <col min="4115" max="4115" width="3.83984375" customWidth="1"/>
    <col min="4116" max="4116" width="5.578125" customWidth="1"/>
    <col min="4118" max="4118" width="9.15625" customWidth="1"/>
    <col min="4353" max="4353" width="11.578125" customWidth="1"/>
    <col min="4354" max="4358" width="9.15625" customWidth="1"/>
    <col min="4359" max="4359" width="4" customWidth="1"/>
    <col min="4360" max="4360" width="5.578125" customWidth="1"/>
    <col min="4363" max="4363" width="3.83984375" customWidth="1"/>
    <col min="4364" max="4364" width="5.578125" customWidth="1"/>
    <col min="4367" max="4367" width="4.26171875" customWidth="1"/>
    <col min="4368" max="4368" width="5.578125" customWidth="1"/>
    <col min="4370" max="4370" width="10" customWidth="1"/>
    <col min="4371" max="4371" width="3.83984375" customWidth="1"/>
    <col min="4372" max="4372" width="5.578125" customWidth="1"/>
    <col min="4374" max="4374" width="9.15625" customWidth="1"/>
    <col min="4609" max="4609" width="11.578125" customWidth="1"/>
    <col min="4610" max="4614" width="9.15625" customWidth="1"/>
    <col min="4615" max="4615" width="4" customWidth="1"/>
    <col min="4616" max="4616" width="5.578125" customWidth="1"/>
    <col min="4619" max="4619" width="3.83984375" customWidth="1"/>
    <col min="4620" max="4620" width="5.578125" customWidth="1"/>
    <col min="4623" max="4623" width="4.26171875" customWidth="1"/>
    <col min="4624" max="4624" width="5.578125" customWidth="1"/>
    <col min="4626" max="4626" width="10" customWidth="1"/>
    <col min="4627" max="4627" width="3.83984375" customWidth="1"/>
    <col min="4628" max="4628" width="5.578125" customWidth="1"/>
    <col min="4630" max="4630" width="9.15625" customWidth="1"/>
    <col min="4865" max="4865" width="11.578125" customWidth="1"/>
    <col min="4866" max="4870" width="9.15625" customWidth="1"/>
    <col min="4871" max="4871" width="4" customWidth="1"/>
    <col min="4872" max="4872" width="5.578125" customWidth="1"/>
    <col min="4875" max="4875" width="3.83984375" customWidth="1"/>
    <col min="4876" max="4876" width="5.578125" customWidth="1"/>
    <col min="4879" max="4879" width="4.26171875" customWidth="1"/>
    <col min="4880" max="4880" width="5.578125" customWidth="1"/>
    <col min="4882" max="4882" width="10" customWidth="1"/>
    <col min="4883" max="4883" width="3.83984375" customWidth="1"/>
    <col min="4884" max="4884" width="5.578125" customWidth="1"/>
    <col min="4886" max="4886" width="9.15625" customWidth="1"/>
    <col min="5121" max="5121" width="11.578125" customWidth="1"/>
    <col min="5122" max="5126" width="9.15625" customWidth="1"/>
    <col min="5127" max="5127" width="4" customWidth="1"/>
    <col min="5128" max="5128" width="5.578125" customWidth="1"/>
    <col min="5131" max="5131" width="3.83984375" customWidth="1"/>
    <col min="5132" max="5132" width="5.578125" customWidth="1"/>
    <col min="5135" max="5135" width="4.26171875" customWidth="1"/>
    <col min="5136" max="5136" width="5.578125" customWidth="1"/>
    <col min="5138" max="5138" width="10" customWidth="1"/>
    <col min="5139" max="5139" width="3.83984375" customWidth="1"/>
    <col min="5140" max="5140" width="5.578125" customWidth="1"/>
    <col min="5142" max="5142" width="9.15625" customWidth="1"/>
    <col min="5377" max="5377" width="11.578125" customWidth="1"/>
    <col min="5378" max="5382" width="9.15625" customWidth="1"/>
    <col min="5383" max="5383" width="4" customWidth="1"/>
    <col min="5384" max="5384" width="5.578125" customWidth="1"/>
    <col min="5387" max="5387" width="3.83984375" customWidth="1"/>
    <col min="5388" max="5388" width="5.578125" customWidth="1"/>
    <col min="5391" max="5391" width="4.26171875" customWidth="1"/>
    <col min="5392" max="5392" width="5.578125" customWidth="1"/>
    <col min="5394" max="5394" width="10" customWidth="1"/>
    <col min="5395" max="5395" width="3.83984375" customWidth="1"/>
    <col min="5396" max="5396" width="5.578125" customWidth="1"/>
    <col min="5398" max="5398" width="9.15625" customWidth="1"/>
    <col min="5633" max="5633" width="11.578125" customWidth="1"/>
    <col min="5634" max="5638" width="9.15625" customWidth="1"/>
    <col min="5639" max="5639" width="4" customWidth="1"/>
    <col min="5640" max="5640" width="5.578125" customWidth="1"/>
    <col min="5643" max="5643" width="3.83984375" customWidth="1"/>
    <col min="5644" max="5644" width="5.578125" customWidth="1"/>
    <col min="5647" max="5647" width="4.26171875" customWidth="1"/>
    <col min="5648" max="5648" width="5.578125" customWidth="1"/>
    <col min="5650" max="5650" width="10" customWidth="1"/>
    <col min="5651" max="5651" width="3.83984375" customWidth="1"/>
    <col min="5652" max="5652" width="5.578125" customWidth="1"/>
    <col min="5654" max="5654" width="9.15625" customWidth="1"/>
    <col min="5889" max="5889" width="11.578125" customWidth="1"/>
    <col min="5890" max="5894" width="9.15625" customWidth="1"/>
    <col min="5895" max="5895" width="4" customWidth="1"/>
    <col min="5896" max="5896" width="5.578125" customWidth="1"/>
    <col min="5899" max="5899" width="3.83984375" customWidth="1"/>
    <col min="5900" max="5900" width="5.578125" customWidth="1"/>
    <col min="5903" max="5903" width="4.26171875" customWidth="1"/>
    <col min="5904" max="5904" width="5.578125" customWidth="1"/>
    <col min="5906" max="5906" width="10" customWidth="1"/>
    <col min="5907" max="5907" width="3.83984375" customWidth="1"/>
    <col min="5908" max="5908" width="5.578125" customWidth="1"/>
    <col min="5910" max="5910" width="9.15625" customWidth="1"/>
    <col min="6145" max="6145" width="11.578125" customWidth="1"/>
    <col min="6146" max="6150" width="9.15625" customWidth="1"/>
    <col min="6151" max="6151" width="4" customWidth="1"/>
    <col min="6152" max="6152" width="5.578125" customWidth="1"/>
    <col min="6155" max="6155" width="3.83984375" customWidth="1"/>
    <col min="6156" max="6156" width="5.578125" customWidth="1"/>
    <col min="6159" max="6159" width="4.26171875" customWidth="1"/>
    <col min="6160" max="6160" width="5.578125" customWidth="1"/>
    <col min="6162" max="6162" width="10" customWidth="1"/>
    <col min="6163" max="6163" width="3.83984375" customWidth="1"/>
    <col min="6164" max="6164" width="5.578125" customWidth="1"/>
    <col min="6166" max="6166" width="9.15625" customWidth="1"/>
    <col min="6401" max="6401" width="11.578125" customWidth="1"/>
    <col min="6402" max="6406" width="9.15625" customWidth="1"/>
    <col min="6407" max="6407" width="4" customWidth="1"/>
    <col min="6408" max="6408" width="5.578125" customWidth="1"/>
    <col min="6411" max="6411" width="3.83984375" customWidth="1"/>
    <col min="6412" max="6412" width="5.578125" customWidth="1"/>
    <col min="6415" max="6415" width="4.26171875" customWidth="1"/>
    <col min="6416" max="6416" width="5.578125" customWidth="1"/>
    <col min="6418" max="6418" width="10" customWidth="1"/>
    <col min="6419" max="6419" width="3.83984375" customWidth="1"/>
    <col min="6420" max="6420" width="5.578125" customWidth="1"/>
    <col min="6422" max="6422" width="9.15625" customWidth="1"/>
    <col min="6657" max="6657" width="11.578125" customWidth="1"/>
    <col min="6658" max="6662" width="9.15625" customWidth="1"/>
    <col min="6663" max="6663" width="4" customWidth="1"/>
    <col min="6664" max="6664" width="5.578125" customWidth="1"/>
    <col min="6667" max="6667" width="3.83984375" customWidth="1"/>
    <col min="6668" max="6668" width="5.578125" customWidth="1"/>
    <col min="6671" max="6671" width="4.26171875" customWidth="1"/>
    <col min="6672" max="6672" width="5.578125" customWidth="1"/>
    <col min="6674" max="6674" width="10" customWidth="1"/>
    <col min="6675" max="6675" width="3.83984375" customWidth="1"/>
    <col min="6676" max="6676" width="5.578125" customWidth="1"/>
    <col min="6678" max="6678" width="9.15625" customWidth="1"/>
    <col min="6913" max="6913" width="11.578125" customWidth="1"/>
    <col min="6914" max="6918" width="9.15625" customWidth="1"/>
    <col min="6919" max="6919" width="4" customWidth="1"/>
    <col min="6920" max="6920" width="5.578125" customWidth="1"/>
    <col min="6923" max="6923" width="3.83984375" customWidth="1"/>
    <col min="6924" max="6924" width="5.578125" customWidth="1"/>
    <col min="6927" max="6927" width="4.26171875" customWidth="1"/>
    <col min="6928" max="6928" width="5.578125" customWidth="1"/>
    <col min="6930" max="6930" width="10" customWidth="1"/>
    <col min="6931" max="6931" width="3.83984375" customWidth="1"/>
    <col min="6932" max="6932" width="5.578125" customWidth="1"/>
    <col min="6934" max="6934" width="9.15625" customWidth="1"/>
    <col min="7169" max="7169" width="11.578125" customWidth="1"/>
    <col min="7170" max="7174" width="9.15625" customWidth="1"/>
    <col min="7175" max="7175" width="4" customWidth="1"/>
    <col min="7176" max="7176" width="5.578125" customWidth="1"/>
    <col min="7179" max="7179" width="3.83984375" customWidth="1"/>
    <col min="7180" max="7180" width="5.578125" customWidth="1"/>
    <col min="7183" max="7183" width="4.26171875" customWidth="1"/>
    <col min="7184" max="7184" width="5.578125" customWidth="1"/>
    <col min="7186" max="7186" width="10" customWidth="1"/>
    <col min="7187" max="7187" width="3.83984375" customWidth="1"/>
    <col min="7188" max="7188" width="5.578125" customWidth="1"/>
    <col min="7190" max="7190" width="9.15625" customWidth="1"/>
    <col min="7425" max="7425" width="11.578125" customWidth="1"/>
    <col min="7426" max="7430" width="9.15625" customWidth="1"/>
    <col min="7431" max="7431" width="4" customWidth="1"/>
    <col min="7432" max="7432" width="5.578125" customWidth="1"/>
    <col min="7435" max="7435" width="3.83984375" customWidth="1"/>
    <col min="7436" max="7436" width="5.578125" customWidth="1"/>
    <col min="7439" max="7439" width="4.26171875" customWidth="1"/>
    <col min="7440" max="7440" width="5.578125" customWidth="1"/>
    <col min="7442" max="7442" width="10" customWidth="1"/>
    <col min="7443" max="7443" width="3.83984375" customWidth="1"/>
    <col min="7444" max="7444" width="5.578125" customWidth="1"/>
    <col min="7446" max="7446" width="9.15625" customWidth="1"/>
    <col min="7681" max="7681" width="11.578125" customWidth="1"/>
    <col min="7682" max="7686" width="9.15625" customWidth="1"/>
    <col min="7687" max="7687" width="4" customWidth="1"/>
    <col min="7688" max="7688" width="5.578125" customWidth="1"/>
    <col min="7691" max="7691" width="3.83984375" customWidth="1"/>
    <col min="7692" max="7692" width="5.578125" customWidth="1"/>
    <col min="7695" max="7695" width="4.26171875" customWidth="1"/>
    <col min="7696" max="7696" width="5.578125" customWidth="1"/>
    <col min="7698" max="7698" width="10" customWidth="1"/>
    <col min="7699" max="7699" width="3.83984375" customWidth="1"/>
    <col min="7700" max="7700" width="5.578125" customWidth="1"/>
    <col min="7702" max="7702" width="9.15625" customWidth="1"/>
    <col min="7937" max="7937" width="11.578125" customWidth="1"/>
    <col min="7938" max="7942" width="9.15625" customWidth="1"/>
    <col min="7943" max="7943" width="4" customWidth="1"/>
    <col min="7944" max="7944" width="5.578125" customWidth="1"/>
    <col min="7947" max="7947" width="3.83984375" customWidth="1"/>
    <col min="7948" max="7948" width="5.578125" customWidth="1"/>
    <col min="7951" max="7951" width="4.26171875" customWidth="1"/>
    <col min="7952" max="7952" width="5.578125" customWidth="1"/>
    <col min="7954" max="7954" width="10" customWidth="1"/>
    <col min="7955" max="7955" width="3.83984375" customWidth="1"/>
    <col min="7956" max="7956" width="5.578125" customWidth="1"/>
    <col min="7958" max="7958" width="9.15625" customWidth="1"/>
    <col min="8193" max="8193" width="11.578125" customWidth="1"/>
    <col min="8194" max="8198" width="9.15625" customWidth="1"/>
    <col min="8199" max="8199" width="4" customWidth="1"/>
    <col min="8200" max="8200" width="5.578125" customWidth="1"/>
    <col min="8203" max="8203" width="3.83984375" customWidth="1"/>
    <col min="8204" max="8204" width="5.578125" customWidth="1"/>
    <col min="8207" max="8207" width="4.26171875" customWidth="1"/>
    <col min="8208" max="8208" width="5.578125" customWidth="1"/>
    <col min="8210" max="8210" width="10" customWidth="1"/>
    <col min="8211" max="8211" width="3.83984375" customWidth="1"/>
    <col min="8212" max="8212" width="5.578125" customWidth="1"/>
    <col min="8214" max="8214" width="9.15625" customWidth="1"/>
    <col min="8449" max="8449" width="11.578125" customWidth="1"/>
    <col min="8450" max="8454" width="9.15625" customWidth="1"/>
    <col min="8455" max="8455" width="4" customWidth="1"/>
    <col min="8456" max="8456" width="5.578125" customWidth="1"/>
    <col min="8459" max="8459" width="3.83984375" customWidth="1"/>
    <col min="8460" max="8460" width="5.578125" customWidth="1"/>
    <col min="8463" max="8463" width="4.26171875" customWidth="1"/>
    <col min="8464" max="8464" width="5.578125" customWidth="1"/>
    <col min="8466" max="8466" width="10" customWidth="1"/>
    <col min="8467" max="8467" width="3.83984375" customWidth="1"/>
    <col min="8468" max="8468" width="5.578125" customWidth="1"/>
    <col min="8470" max="8470" width="9.15625" customWidth="1"/>
    <col min="8705" max="8705" width="11.578125" customWidth="1"/>
    <col min="8706" max="8710" width="9.15625" customWidth="1"/>
    <col min="8711" max="8711" width="4" customWidth="1"/>
    <col min="8712" max="8712" width="5.578125" customWidth="1"/>
    <col min="8715" max="8715" width="3.83984375" customWidth="1"/>
    <col min="8716" max="8716" width="5.578125" customWidth="1"/>
    <col min="8719" max="8719" width="4.26171875" customWidth="1"/>
    <col min="8720" max="8720" width="5.578125" customWidth="1"/>
    <col min="8722" max="8722" width="10" customWidth="1"/>
    <col min="8723" max="8723" width="3.83984375" customWidth="1"/>
    <col min="8724" max="8724" width="5.578125" customWidth="1"/>
    <col min="8726" max="8726" width="9.15625" customWidth="1"/>
    <col min="8961" max="8961" width="11.578125" customWidth="1"/>
    <col min="8962" max="8966" width="9.15625" customWidth="1"/>
    <col min="8967" max="8967" width="4" customWidth="1"/>
    <col min="8968" max="8968" width="5.578125" customWidth="1"/>
    <col min="8971" max="8971" width="3.83984375" customWidth="1"/>
    <col min="8972" max="8972" width="5.578125" customWidth="1"/>
    <col min="8975" max="8975" width="4.26171875" customWidth="1"/>
    <col min="8976" max="8976" width="5.578125" customWidth="1"/>
    <col min="8978" max="8978" width="10" customWidth="1"/>
    <col min="8979" max="8979" width="3.83984375" customWidth="1"/>
    <col min="8980" max="8980" width="5.578125" customWidth="1"/>
    <col min="8982" max="8982" width="9.15625" customWidth="1"/>
    <col min="9217" max="9217" width="11.578125" customWidth="1"/>
    <col min="9218" max="9222" width="9.15625" customWidth="1"/>
    <col min="9223" max="9223" width="4" customWidth="1"/>
    <col min="9224" max="9224" width="5.578125" customWidth="1"/>
    <col min="9227" max="9227" width="3.83984375" customWidth="1"/>
    <col min="9228" max="9228" width="5.578125" customWidth="1"/>
    <col min="9231" max="9231" width="4.26171875" customWidth="1"/>
    <col min="9232" max="9232" width="5.578125" customWidth="1"/>
    <col min="9234" max="9234" width="10" customWidth="1"/>
    <col min="9235" max="9235" width="3.83984375" customWidth="1"/>
    <col min="9236" max="9236" width="5.578125" customWidth="1"/>
    <col min="9238" max="9238" width="9.15625" customWidth="1"/>
    <col min="9473" max="9473" width="11.578125" customWidth="1"/>
    <col min="9474" max="9478" width="9.15625" customWidth="1"/>
    <col min="9479" max="9479" width="4" customWidth="1"/>
    <col min="9480" max="9480" width="5.578125" customWidth="1"/>
    <col min="9483" max="9483" width="3.83984375" customWidth="1"/>
    <col min="9484" max="9484" width="5.578125" customWidth="1"/>
    <col min="9487" max="9487" width="4.26171875" customWidth="1"/>
    <col min="9488" max="9488" width="5.578125" customWidth="1"/>
    <col min="9490" max="9490" width="10" customWidth="1"/>
    <col min="9491" max="9491" width="3.83984375" customWidth="1"/>
    <col min="9492" max="9492" width="5.578125" customWidth="1"/>
    <col min="9494" max="9494" width="9.15625" customWidth="1"/>
    <col min="9729" max="9729" width="11.578125" customWidth="1"/>
    <col min="9730" max="9734" width="9.15625" customWidth="1"/>
    <col min="9735" max="9735" width="4" customWidth="1"/>
    <col min="9736" max="9736" width="5.578125" customWidth="1"/>
    <col min="9739" max="9739" width="3.83984375" customWidth="1"/>
    <col min="9740" max="9740" width="5.578125" customWidth="1"/>
    <col min="9743" max="9743" width="4.26171875" customWidth="1"/>
    <col min="9744" max="9744" width="5.578125" customWidth="1"/>
    <col min="9746" max="9746" width="10" customWidth="1"/>
    <col min="9747" max="9747" width="3.83984375" customWidth="1"/>
    <col min="9748" max="9748" width="5.578125" customWidth="1"/>
    <col min="9750" max="9750" width="9.15625" customWidth="1"/>
    <col min="9985" max="9985" width="11.578125" customWidth="1"/>
    <col min="9986" max="9990" width="9.15625" customWidth="1"/>
    <col min="9991" max="9991" width="4" customWidth="1"/>
    <col min="9992" max="9992" width="5.578125" customWidth="1"/>
    <col min="9995" max="9995" width="3.83984375" customWidth="1"/>
    <col min="9996" max="9996" width="5.578125" customWidth="1"/>
    <col min="9999" max="9999" width="4.26171875" customWidth="1"/>
    <col min="10000" max="10000" width="5.578125" customWidth="1"/>
    <col min="10002" max="10002" width="10" customWidth="1"/>
    <col min="10003" max="10003" width="3.83984375" customWidth="1"/>
    <col min="10004" max="10004" width="5.578125" customWidth="1"/>
    <col min="10006" max="10006" width="9.15625" customWidth="1"/>
    <col min="10241" max="10241" width="11.578125" customWidth="1"/>
    <col min="10242" max="10246" width="9.15625" customWidth="1"/>
    <col min="10247" max="10247" width="4" customWidth="1"/>
    <col min="10248" max="10248" width="5.578125" customWidth="1"/>
    <col min="10251" max="10251" width="3.83984375" customWidth="1"/>
    <col min="10252" max="10252" width="5.578125" customWidth="1"/>
    <col min="10255" max="10255" width="4.26171875" customWidth="1"/>
    <col min="10256" max="10256" width="5.578125" customWidth="1"/>
    <col min="10258" max="10258" width="10" customWidth="1"/>
    <col min="10259" max="10259" width="3.83984375" customWidth="1"/>
    <col min="10260" max="10260" width="5.578125" customWidth="1"/>
    <col min="10262" max="10262" width="9.15625" customWidth="1"/>
    <col min="10497" max="10497" width="11.578125" customWidth="1"/>
    <col min="10498" max="10502" width="9.15625" customWidth="1"/>
    <col min="10503" max="10503" width="4" customWidth="1"/>
    <col min="10504" max="10504" width="5.578125" customWidth="1"/>
    <col min="10507" max="10507" width="3.83984375" customWidth="1"/>
    <col min="10508" max="10508" width="5.578125" customWidth="1"/>
    <col min="10511" max="10511" width="4.26171875" customWidth="1"/>
    <col min="10512" max="10512" width="5.578125" customWidth="1"/>
    <col min="10514" max="10514" width="10" customWidth="1"/>
    <col min="10515" max="10515" width="3.83984375" customWidth="1"/>
    <col min="10516" max="10516" width="5.578125" customWidth="1"/>
    <col min="10518" max="10518" width="9.15625" customWidth="1"/>
    <col min="10753" max="10753" width="11.578125" customWidth="1"/>
    <col min="10754" max="10758" width="9.15625" customWidth="1"/>
    <col min="10759" max="10759" width="4" customWidth="1"/>
    <col min="10760" max="10760" width="5.578125" customWidth="1"/>
    <col min="10763" max="10763" width="3.83984375" customWidth="1"/>
    <col min="10764" max="10764" width="5.578125" customWidth="1"/>
    <col min="10767" max="10767" width="4.26171875" customWidth="1"/>
    <col min="10768" max="10768" width="5.578125" customWidth="1"/>
    <col min="10770" max="10770" width="10" customWidth="1"/>
    <col min="10771" max="10771" width="3.83984375" customWidth="1"/>
    <col min="10772" max="10772" width="5.578125" customWidth="1"/>
    <col min="10774" max="10774" width="9.15625" customWidth="1"/>
    <col min="11009" max="11009" width="11.578125" customWidth="1"/>
    <col min="11010" max="11014" width="9.15625" customWidth="1"/>
    <col min="11015" max="11015" width="4" customWidth="1"/>
    <col min="11016" max="11016" width="5.578125" customWidth="1"/>
    <col min="11019" max="11019" width="3.83984375" customWidth="1"/>
    <col min="11020" max="11020" width="5.578125" customWidth="1"/>
    <col min="11023" max="11023" width="4.26171875" customWidth="1"/>
    <col min="11024" max="11024" width="5.578125" customWidth="1"/>
    <col min="11026" max="11026" width="10" customWidth="1"/>
    <col min="11027" max="11027" width="3.83984375" customWidth="1"/>
    <col min="11028" max="11028" width="5.578125" customWidth="1"/>
    <col min="11030" max="11030" width="9.15625" customWidth="1"/>
    <col min="11265" max="11265" width="11.578125" customWidth="1"/>
    <col min="11266" max="11270" width="9.15625" customWidth="1"/>
    <col min="11271" max="11271" width="4" customWidth="1"/>
    <col min="11272" max="11272" width="5.578125" customWidth="1"/>
    <col min="11275" max="11275" width="3.83984375" customWidth="1"/>
    <col min="11276" max="11276" width="5.578125" customWidth="1"/>
    <col min="11279" max="11279" width="4.26171875" customWidth="1"/>
    <col min="11280" max="11280" width="5.578125" customWidth="1"/>
    <col min="11282" max="11282" width="10" customWidth="1"/>
    <col min="11283" max="11283" width="3.83984375" customWidth="1"/>
    <col min="11284" max="11284" width="5.578125" customWidth="1"/>
    <col min="11286" max="11286" width="9.15625" customWidth="1"/>
    <col min="11521" max="11521" width="11.578125" customWidth="1"/>
    <col min="11522" max="11526" width="9.15625" customWidth="1"/>
    <col min="11527" max="11527" width="4" customWidth="1"/>
    <col min="11528" max="11528" width="5.578125" customWidth="1"/>
    <col min="11531" max="11531" width="3.83984375" customWidth="1"/>
    <col min="11532" max="11532" width="5.578125" customWidth="1"/>
    <col min="11535" max="11535" width="4.26171875" customWidth="1"/>
    <col min="11536" max="11536" width="5.578125" customWidth="1"/>
    <col min="11538" max="11538" width="10" customWidth="1"/>
    <col min="11539" max="11539" width="3.83984375" customWidth="1"/>
    <col min="11540" max="11540" width="5.578125" customWidth="1"/>
    <col min="11542" max="11542" width="9.15625" customWidth="1"/>
    <col min="11777" max="11777" width="11.578125" customWidth="1"/>
    <col min="11778" max="11782" width="9.15625" customWidth="1"/>
    <col min="11783" max="11783" width="4" customWidth="1"/>
    <col min="11784" max="11784" width="5.578125" customWidth="1"/>
    <col min="11787" max="11787" width="3.83984375" customWidth="1"/>
    <col min="11788" max="11788" width="5.578125" customWidth="1"/>
    <col min="11791" max="11791" width="4.26171875" customWidth="1"/>
    <col min="11792" max="11792" width="5.578125" customWidth="1"/>
    <col min="11794" max="11794" width="10" customWidth="1"/>
    <col min="11795" max="11795" width="3.83984375" customWidth="1"/>
    <col min="11796" max="11796" width="5.578125" customWidth="1"/>
    <col min="11798" max="11798" width="9.15625" customWidth="1"/>
    <col min="12033" max="12033" width="11.578125" customWidth="1"/>
    <col min="12034" max="12038" width="9.15625" customWidth="1"/>
    <col min="12039" max="12039" width="4" customWidth="1"/>
    <col min="12040" max="12040" width="5.578125" customWidth="1"/>
    <col min="12043" max="12043" width="3.83984375" customWidth="1"/>
    <col min="12044" max="12044" width="5.578125" customWidth="1"/>
    <col min="12047" max="12047" width="4.26171875" customWidth="1"/>
    <col min="12048" max="12048" width="5.578125" customWidth="1"/>
    <col min="12050" max="12050" width="10" customWidth="1"/>
    <col min="12051" max="12051" width="3.83984375" customWidth="1"/>
    <col min="12052" max="12052" width="5.578125" customWidth="1"/>
    <col min="12054" max="12054" width="9.15625" customWidth="1"/>
    <col min="12289" max="12289" width="11.578125" customWidth="1"/>
    <col min="12290" max="12294" width="9.15625" customWidth="1"/>
    <col min="12295" max="12295" width="4" customWidth="1"/>
    <col min="12296" max="12296" width="5.578125" customWidth="1"/>
    <col min="12299" max="12299" width="3.83984375" customWidth="1"/>
    <col min="12300" max="12300" width="5.578125" customWidth="1"/>
    <col min="12303" max="12303" width="4.26171875" customWidth="1"/>
    <col min="12304" max="12304" width="5.578125" customWidth="1"/>
    <col min="12306" max="12306" width="10" customWidth="1"/>
    <col min="12307" max="12307" width="3.83984375" customWidth="1"/>
    <col min="12308" max="12308" width="5.578125" customWidth="1"/>
    <col min="12310" max="12310" width="9.15625" customWidth="1"/>
    <col min="12545" max="12545" width="11.578125" customWidth="1"/>
    <col min="12546" max="12550" width="9.15625" customWidth="1"/>
    <col min="12551" max="12551" width="4" customWidth="1"/>
    <col min="12552" max="12552" width="5.578125" customWidth="1"/>
    <col min="12555" max="12555" width="3.83984375" customWidth="1"/>
    <col min="12556" max="12556" width="5.578125" customWidth="1"/>
    <col min="12559" max="12559" width="4.26171875" customWidth="1"/>
    <col min="12560" max="12560" width="5.578125" customWidth="1"/>
    <col min="12562" max="12562" width="10" customWidth="1"/>
    <col min="12563" max="12563" width="3.83984375" customWidth="1"/>
    <col min="12564" max="12564" width="5.578125" customWidth="1"/>
    <col min="12566" max="12566" width="9.15625" customWidth="1"/>
    <col min="12801" max="12801" width="11.578125" customWidth="1"/>
    <col min="12802" max="12806" width="9.15625" customWidth="1"/>
    <col min="12807" max="12807" width="4" customWidth="1"/>
    <col min="12808" max="12808" width="5.578125" customWidth="1"/>
    <col min="12811" max="12811" width="3.83984375" customWidth="1"/>
    <col min="12812" max="12812" width="5.578125" customWidth="1"/>
    <col min="12815" max="12815" width="4.26171875" customWidth="1"/>
    <col min="12816" max="12816" width="5.578125" customWidth="1"/>
    <col min="12818" max="12818" width="10" customWidth="1"/>
    <col min="12819" max="12819" width="3.83984375" customWidth="1"/>
    <col min="12820" max="12820" width="5.578125" customWidth="1"/>
    <col min="12822" max="12822" width="9.15625" customWidth="1"/>
    <col min="13057" max="13057" width="11.578125" customWidth="1"/>
    <col min="13058" max="13062" width="9.15625" customWidth="1"/>
    <col min="13063" max="13063" width="4" customWidth="1"/>
    <col min="13064" max="13064" width="5.578125" customWidth="1"/>
    <col min="13067" max="13067" width="3.83984375" customWidth="1"/>
    <col min="13068" max="13068" width="5.578125" customWidth="1"/>
    <col min="13071" max="13071" width="4.26171875" customWidth="1"/>
    <col min="13072" max="13072" width="5.578125" customWidth="1"/>
    <col min="13074" max="13074" width="10" customWidth="1"/>
    <col min="13075" max="13075" width="3.83984375" customWidth="1"/>
    <col min="13076" max="13076" width="5.578125" customWidth="1"/>
    <col min="13078" max="13078" width="9.15625" customWidth="1"/>
    <col min="13313" max="13313" width="11.578125" customWidth="1"/>
    <col min="13314" max="13318" width="9.15625" customWidth="1"/>
    <col min="13319" max="13319" width="4" customWidth="1"/>
    <col min="13320" max="13320" width="5.578125" customWidth="1"/>
    <col min="13323" max="13323" width="3.83984375" customWidth="1"/>
    <col min="13324" max="13324" width="5.578125" customWidth="1"/>
    <col min="13327" max="13327" width="4.26171875" customWidth="1"/>
    <col min="13328" max="13328" width="5.578125" customWidth="1"/>
    <col min="13330" max="13330" width="10" customWidth="1"/>
    <col min="13331" max="13331" width="3.83984375" customWidth="1"/>
    <col min="13332" max="13332" width="5.578125" customWidth="1"/>
    <col min="13334" max="13334" width="9.15625" customWidth="1"/>
    <col min="13569" max="13569" width="11.578125" customWidth="1"/>
    <col min="13570" max="13574" width="9.15625" customWidth="1"/>
    <col min="13575" max="13575" width="4" customWidth="1"/>
    <col min="13576" max="13576" width="5.578125" customWidth="1"/>
    <col min="13579" max="13579" width="3.83984375" customWidth="1"/>
    <col min="13580" max="13580" width="5.578125" customWidth="1"/>
    <col min="13583" max="13583" width="4.26171875" customWidth="1"/>
    <col min="13584" max="13584" width="5.578125" customWidth="1"/>
    <col min="13586" max="13586" width="10" customWidth="1"/>
    <col min="13587" max="13587" width="3.83984375" customWidth="1"/>
    <col min="13588" max="13588" width="5.578125" customWidth="1"/>
    <col min="13590" max="13590" width="9.15625" customWidth="1"/>
    <col min="13825" max="13825" width="11.578125" customWidth="1"/>
    <col min="13826" max="13830" width="9.15625" customWidth="1"/>
    <col min="13831" max="13831" width="4" customWidth="1"/>
    <col min="13832" max="13832" width="5.578125" customWidth="1"/>
    <col min="13835" max="13835" width="3.83984375" customWidth="1"/>
    <col min="13836" max="13836" width="5.578125" customWidth="1"/>
    <col min="13839" max="13839" width="4.26171875" customWidth="1"/>
    <col min="13840" max="13840" width="5.578125" customWidth="1"/>
    <col min="13842" max="13842" width="10" customWidth="1"/>
    <col min="13843" max="13843" width="3.83984375" customWidth="1"/>
    <col min="13844" max="13844" width="5.578125" customWidth="1"/>
    <col min="13846" max="13846" width="9.15625" customWidth="1"/>
    <col min="14081" max="14081" width="11.578125" customWidth="1"/>
    <col min="14082" max="14086" width="9.15625" customWidth="1"/>
    <col min="14087" max="14087" width="4" customWidth="1"/>
    <col min="14088" max="14088" width="5.578125" customWidth="1"/>
    <col min="14091" max="14091" width="3.83984375" customWidth="1"/>
    <col min="14092" max="14092" width="5.578125" customWidth="1"/>
    <col min="14095" max="14095" width="4.26171875" customWidth="1"/>
    <col min="14096" max="14096" width="5.578125" customWidth="1"/>
    <col min="14098" max="14098" width="10" customWidth="1"/>
    <col min="14099" max="14099" width="3.83984375" customWidth="1"/>
    <col min="14100" max="14100" width="5.578125" customWidth="1"/>
    <col min="14102" max="14102" width="9.15625" customWidth="1"/>
    <col min="14337" max="14337" width="11.578125" customWidth="1"/>
    <col min="14338" max="14342" width="9.15625" customWidth="1"/>
    <col min="14343" max="14343" width="4" customWidth="1"/>
    <col min="14344" max="14344" width="5.578125" customWidth="1"/>
    <col min="14347" max="14347" width="3.83984375" customWidth="1"/>
    <col min="14348" max="14348" width="5.578125" customWidth="1"/>
    <col min="14351" max="14351" width="4.26171875" customWidth="1"/>
    <col min="14352" max="14352" width="5.578125" customWidth="1"/>
    <col min="14354" max="14354" width="10" customWidth="1"/>
    <col min="14355" max="14355" width="3.83984375" customWidth="1"/>
    <col min="14356" max="14356" width="5.578125" customWidth="1"/>
    <col min="14358" max="14358" width="9.15625" customWidth="1"/>
    <col min="14593" max="14593" width="11.578125" customWidth="1"/>
    <col min="14594" max="14598" width="9.15625" customWidth="1"/>
    <col min="14599" max="14599" width="4" customWidth="1"/>
    <col min="14600" max="14600" width="5.578125" customWidth="1"/>
    <col min="14603" max="14603" width="3.83984375" customWidth="1"/>
    <col min="14604" max="14604" width="5.578125" customWidth="1"/>
    <col min="14607" max="14607" width="4.26171875" customWidth="1"/>
    <col min="14608" max="14608" width="5.578125" customWidth="1"/>
    <col min="14610" max="14610" width="10" customWidth="1"/>
    <col min="14611" max="14611" width="3.83984375" customWidth="1"/>
    <col min="14612" max="14612" width="5.578125" customWidth="1"/>
    <col min="14614" max="14614" width="9.15625" customWidth="1"/>
    <col min="14849" max="14849" width="11.578125" customWidth="1"/>
    <col min="14850" max="14854" width="9.15625" customWidth="1"/>
    <col min="14855" max="14855" width="4" customWidth="1"/>
    <col min="14856" max="14856" width="5.578125" customWidth="1"/>
    <col min="14859" max="14859" width="3.83984375" customWidth="1"/>
    <col min="14860" max="14860" width="5.578125" customWidth="1"/>
    <col min="14863" max="14863" width="4.26171875" customWidth="1"/>
    <col min="14864" max="14864" width="5.578125" customWidth="1"/>
    <col min="14866" max="14866" width="10" customWidth="1"/>
    <col min="14867" max="14867" width="3.83984375" customWidth="1"/>
    <col min="14868" max="14868" width="5.578125" customWidth="1"/>
    <col min="14870" max="14870" width="9.15625" customWidth="1"/>
    <col min="15105" max="15105" width="11.578125" customWidth="1"/>
    <col min="15106" max="15110" width="9.15625" customWidth="1"/>
    <col min="15111" max="15111" width="4" customWidth="1"/>
    <col min="15112" max="15112" width="5.578125" customWidth="1"/>
    <col min="15115" max="15115" width="3.83984375" customWidth="1"/>
    <col min="15116" max="15116" width="5.578125" customWidth="1"/>
    <col min="15119" max="15119" width="4.26171875" customWidth="1"/>
    <col min="15120" max="15120" width="5.578125" customWidth="1"/>
    <col min="15122" max="15122" width="10" customWidth="1"/>
    <col min="15123" max="15123" width="3.83984375" customWidth="1"/>
    <col min="15124" max="15124" width="5.578125" customWidth="1"/>
    <col min="15126" max="15126" width="9.15625" customWidth="1"/>
    <col min="15361" max="15361" width="11.578125" customWidth="1"/>
    <col min="15362" max="15366" width="9.15625" customWidth="1"/>
    <col min="15367" max="15367" width="4" customWidth="1"/>
    <col min="15368" max="15368" width="5.578125" customWidth="1"/>
    <col min="15371" max="15371" width="3.83984375" customWidth="1"/>
    <col min="15372" max="15372" width="5.578125" customWidth="1"/>
    <col min="15375" max="15375" width="4.26171875" customWidth="1"/>
    <col min="15376" max="15376" width="5.578125" customWidth="1"/>
    <col min="15378" max="15378" width="10" customWidth="1"/>
    <col min="15379" max="15379" width="3.83984375" customWidth="1"/>
    <col min="15380" max="15380" width="5.578125" customWidth="1"/>
    <col min="15382" max="15382" width="9.15625" customWidth="1"/>
    <col min="15617" max="15617" width="11.578125" customWidth="1"/>
    <col min="15618" max="15622" width="9.15625" customWidth="1"/>
    <col min="15623" max="15623" width="4" customWidth="1"/>
    <col min="15624" max="15624" width="5.578125" customWidth="1"/>
    <col min="15627" max="15627" width="3.83984375" customWidth="1"/>
    <col min="15628" max="15628" width="5.578125" customWidth="1"/>
    <col min="15631" max="15631" width="4.26171875" customWidth="1"/>
    <col min="15632" max="15632" width="5.578125" customWidth="1"/>
    <col min="15634" max="15634" width="10" customWidth="1"/>
    <col min="15635" max="15635" width="3.83984375" customWidth="1"/>
    <col min="15636" max="15636" width="5.578125" customWidth="1"/>
    <col min="15638" max="15638" width="9.15625" customWidth="1"/>
    <col min="15873" max="15873" width="11.578125" customWidth="1"/>
    <col min="15874" max="15878" width="9.15625" customWidth="1"/>
    <col min="15879" max="15879" width="4" customWidth="1"/>
    <col min="15880" max="15880" width="5.578125" customWidth="1"/>
    <col min="15883" max="15883" width="3.83984375" customWidth="1"/>
    <col min="15884" max="15884" width="5.578125" customWidth="1"/>
    <col min="15887" max="15887" width="4.26171875" customWidth="1"/>
    <col min="15888" max="15888" width="5.578125" customWidth="1"/>
    <col min="15890" max="15890" width="10" customWidth="1"/>
    <col min="15891" max="15891" width="3.83984375" customWidth="1"/>
    <col min="15892" max="15892" width="5.578125" customWidth="1"/>
    <col min="15894" max="15894" width="9.15625" customWidth="1"/>
    <col min="16129" max="16129" width="11.578125" customWidth="1"/>
    <col min="16130" max="16134" width="9.15625" customWidth="1"/>
    <col min="16135" max="16135" width="4" customWidth="1"/>
    <col min="16136" max="16136" width="5.578125" customWidth="1"/>
    <col min="16139" max="16139" width="3.83984375" customWidth="1"/>
    <col min="16140" max="16140" width="5.578125" customWidth="1"/>
    <col min="16143" max="16143" width="4.26171875" customWidth="1"/>
    <col min="16144" max="16144" width="5.578125" customWidth="1"/>
    <col min="16146" max="16146" width="10" customWidth="1"/>
    <col min="16147" max="16147" width="3.83984375" customWidth="1"/>
    <col min="16148" max="16148" width="5.578125" customWidth="1"/>
    <col min="16150" max="16150" width="9.15625" customWidth="1"/>
  </cols>
  <sheetData>
    <row r="1" spans="1:22" x14ac:dyDescent="0.55000000000000004">
      <c r="A1" s="186" t="s">
        <v>345</v>
      </c>
      <c r="B1" s="186"/>
      <c r="C1" s="202"/>
      <c r="D1" s="202"/>
      <c r="E1" s="202"/>
      <c r="F1" s="202"/>
      <c r="G1" s="202"/>
      <c r="H1" s="186"/>
      <c r="I1" s="186"/>
      <c r="J1" s="186"/>
    </row>
    <row r="2" spans="1:22" x14ac:dyDescent="0.55000000000000004">
      <c r="A2" s="203" t="s">
        <v>346</v>
      </c>
      <c r="B2" s="334">
        <v>16000</v>
      </c>
    </row>
    <row r="3" spans="1:22" x14ac:dyDescent="0.55000000000000004">
      <c r="A3" s="203" t="s">
        <v>347</v>
      </c>
      <c r="B3" s="205">
        <f>2/B2</f>
        <v>1.25E-4</v>
      </c>
      <c r="F3" s="204" t="s">
        <v>348</v>
      </c>
      <c r="H3" s="206"/>
      <c r="I3" s="206" t="s">
        <v>349</v>
      </c>
      <c r="J3" s="206" t="s">
        <v>350</v>
      </c>
      <c r="L3" s="206"/>
      <c r="M3" s="206" t="s">
        <v>349</v>
      </c>
      <c r="N3" s="206" t="s">
        <v>350</v>
      </c>
      <c r="P3" s="206"/>
      <c r="Q3" s="206" t="s">
        <v>349</v>
      </c>
      <c r="R3" s="206" t="s">
        <v>350</v>
      </c>
      <c r="T3" s="206"/>
      <c r="U3" s="206" t="s">
        <v>349</v>
      </c>
      <c r="V3" s="206" t="s">
        <v>350</v>
      </c>
    </row>
    <row r="4" spans="1:22" x14ac:dyDescent="0.55000000000000004">
      <c r="A4" s="203" t="s">
        <v>351</v>
      </c>
      <c r="B4" s="207">
        <v>12.5</v>
      </c>
      <c r="C4" s="335">
        <v>13.5</v>
      </c>
      <c r="D4" s="207">
        <v>14.5</v>
      </c>
      <c r="E4" s="207"/>
      <c r="F4" s="207">
        <v>100</v>
      </c>
      <c r="H4" s="206"/>
      <c r="I4" s="333">
        <v>0</v>
      </c>
      <c r="J4" s="206"/>
      <c r="L4" s="206"/>
      <c r="M4" s="332">
        <v>0</v>
      </c>
      <c r="N4" s="206"/>
      <c r="P4" s="206"/>
      <c r="Q4" s="332">
        <v>0</v>
      </c>
      <c r="R4" s="206"/>
      <c r="T4" s="206"/>
      <c r="U4" s="332">
        <v>0</v>
      </c>
      <c r="V4" s="206"/>
    </row>
    <row r="5" spans="1:22" x14ac:dyDescent="0.55000000000000004">
      <c r="A5" s="203" t="s">
        <v>352</v>
      </c>
      <c r="B5" s="208">
        <f>1/B4</f>
        <v>0.08</v>
      </c>
      <c r="C5" s="208">
        <f>1/C4</f>
        <v>7.407407407407407E-2</v>
      </c>
      <c r="D5" s="208">
        <f>1/D4</f>
        <v>6.8965517241379309E-2</v>
      </c>
      <c r="E5" s="208"/>
      <c r="F5" s="209">
        <f>1/F4</f>
        <v>0.01</v>
      </c>
      <c r="H5" s="206"/>
      <c r="I5" s="333">
        <v>312</v>
      </c>
      <c r="J5" s="206"/>
      <c r="L5" s="206"/>
      <c r="M5" s="332">
        <v>19782</v>
      </c>
      <c r="N5" s="206"/>
      <c r="P5" s="206"/>
      <c r="Q5" s="332">
        <v>39</v>
      </c>
      <c r="R5" s="206"/>
      <c r="T5" s="206"/>
      <c r="U5" s="332">
        <v>2488</v>
      </c>
      <c r="V5" s="206"/>
    </row>
    <row r="6" spans="1:22" x14ac:dyDescent="0.55000000000000004">
      <c r="A6" s="203" t="s">
        <v>353</v>
      </c>
      <c r="B6" s="208">
        <f>B5/2</f>
        <v>0.04</v>
      </c>
      <c r="C6" s="208">
        <f>C5/2</f>
        <v>3.7037037037037035E-2</v>
      </c>
      <c r="D6" s="208">
        <f>D5/2</f>
        <v>3.4482758620689655E-2</v>
      </c>
      <c r="E6" s="208"/>
      <c r="F6" s="209">
        <f>F5/2</f>
        <v>5.0000000000000001E-3</v>
      </c>
      <c r="H6" s="203" t="s">
        <v>353</v>
      </c>
      <c r="I6" s="206">
        <f>I5-I4</f>
        <v>312</v>
      </c>
      <c r="J6" s="210">
        <f>I6*$B$3</f>
        <v>3.9E-2</v>
      </c>
      <c r="L6" s="206" t="s">
        <v>354</v>
      </c>
      <c r="M6" s="206">
        <f>M5-M4</f>
        <v>19782</v>
      </c>
      <c r="N6" s="210">
        <f>M6*$B$3</f>
        <v>2.47275</v>
      </c>
      <c r="P6" s="203" t="s">
        <v>353</v>
      </c>
      <c r="Q6" s="206">
        <f>Q5-Q4</f>
        <v>39</v>
      </c>
      <c r="R6" s="210">
        <f>Q6*$B$3</f>
        <v>4.875E-3</v>
      </c>
      <c r="T6" s="206" t="s">
        <v>354</v>
      </c>
      <c r="U6" s="206">
        <f>U5-U4</f>
        <v>2488</v>
      </c>
      <c r="V6" s="210">
        <f>U6*$B$3</f>
        <v>0.311</v>
      </c>
    </row>
    <row r="7" spans="1:22" x14ac:dyDescent="0.55000000000000004">
      <c r="A7" s="203" t="s">
        <v>355</v>
      </c>
      <c r="B7" s="208">
        <f>B6</f>
        <v>0.04</v>
      </c>
      <c r="C7" s="208">
        <f>C6</f>
        <v>3.7037037037037035E-2</v>
      </c>
      <c r="D7" s="208">
        <f>D6</f>
        <v>3.4482758620689655E-2</v>
      </c>
      <c r="E7" s="208"/>
      <c r="F7" s="209">
        <f>F6</f>
        <v>5.0000000000000001E-3</v>
      </c>
      <c r="H7" s="206"/>
      <c r="I7" s="333">
        <v>628</v>
      </c>
      <c r="J7" s="206"/>
      <c r="P7" s="206"/>
      <c r="Q7" s="332">
        <v>79</v>
      </c>
      <c r="R7" s="206"/>
    </row>
    <row r="8" spans="1:22" x14ac:dyDescent="0.55000000000000004">
      <c r="H8" s="203" t="s">
        <v>352</v>
      </c>
      <c r="I8" s="206">
        <f>I7-I4</f>
        <v>628</v>
      </c>
      <c r="J8" s="210">
        <f>I8*$B$3</f>
        <v>7.85E-2</v>
      </c>
      <c r="N8" s="208"/>
      <c r="P8" s="203" t="s">
        <v>352</v>
      </c>
      <c r="Q8" s="206">
        <f>Q7-Q4</f>
        <v>79</v>
      </c>
      <c r="R8" s="210">
        <f>Q8*$B$3</f>
        <v>9.8750000000000001E-3</v>
      </c>
      <c r="V8" s="208"/>
    </row>
    <row r="9" spans="1:22" x14ac:dyDescent="0.55000000000000004">
      <c r="A9" s="203" t="s">
        <v>356</v>
      </c>
      <c r="B9">
        <f>B5*32</f>
        <v>2.56</v>
      </c>
      <c r="C9">
        <f>C5*32</f>
        <v>2.3703703703703702</v>
      </c>
      <c r="D9">
        <f>D5*32</f>
        <v>2.2068965517241379</v>
      </c>
      <c r="F9" s="204">
        <f>F5*32</f>
        <v>0.32</v>
      </c>
      <c r="H9" s="203" t="s">
        <v>355</v>
      </c>
      <c r="I9" s="206">
        <f>I7-I5</f>
        <v>316</v>
      </c>
      <c r="J9" s="210">
        <f>I9*$B$3</f>
        <v>3.95E-2</v>
      </c>
      <c r="N9" s="208"/>
      <c r="P9" s="203" t="s">
        <v>355</v>
      </c>
      <c r="Q9" s="206">
        <f>Q7-Q5</f>
        <v>40</v>
      </c>
      <c r="R9" s="210">
        <f>Q9*$B$3</f>
        <v>5.0000000000000001E-3</v>
      </c>
      <c r="V9" s="208"/>
    </row>
    <row r="10" spans="1:22" x14ac:dyDescent="0.55000000000000004">
      <c r="A10" s="203" t="s">
        <v>357</v>
      </c>
      <c r="B10">
        <f>B5*31.5</f>
        <v>2.52</v>
      </c>
      <c r="C10">
        <f>C5*31.5</f>
        <v>2.333333333333333</v>
      </c>
      <c r="D10">
        <f>D5*31.5</f>
        <v>2.1724137931034484</v>
      </c>
      <c r="F10" s="204">
        <f>F5*31.5</f>
        <v>0.315</v>
      </c>
    </row>
    <row r="12" spans="1:22" x14ac:dyDescent="0.55000000000000004">
      <c r="A12" s="203" t="s">
        <v>358</v>
      </c>
      <c r="B12">
        <f>B9/$B$3</f>
        <v>20480</v>
      </c>
      <c r="C12">
        <f>C9/$B$3</f>
        <v>18962.96296296296</v>
      </c>
      <c r="D12">
        <f>D9/$B$3</f>
        <v>17655.172413793101</v>
      </c>
      <c r="F12" s="204">
        <f>F9/$B$3</f>
        <v>2560</v>
      </c>
    </row>
    <row r="13" spans="1:22" x14ac:dyDescent="0.55000000000000004">
      <c r="A13" s="203" t="s">
        <v>359</v>
      </c>
      <c r="B13">
        <f>B12/32</f>
        <v>640</v>
      </c>
      <c r="C13">
        <f>C12/32</f>
        <v>592.5925925925925</v>
      </c>
      <c r="D13">
        <f>D12/32</f>
        <v>551.72413793103442</v>
      </c>
      <c r="F13" s="204">
        <f>F12/32</f>
        <v>80</v>
      </c>
    </row>
    <row r="14" spans="1:22" x14ac:dyDescent="0.55000000000000004">
      <c r="A14" s="203" t="s">
        <v>360</v>
      </c>
      <c r="B14">
        <f>B7/$B$3</f>
        <v>320</v>
      </c>
      <c r="C14">
        <f>C7/$B$3</f>
        <v>296.29629629629625</v>
      </c>
      <c r="D14">
        <f>D7/$B$3</f>
        <v>275.86206896551721</v>
      </c>
      <c r="F14" s="204">
        <f>F7/$B$3</f>
        <v>40</v>
      </c>
    </row>
    <row r="15" spans="1:22" x14ac:dyDescent="0.55000000000000004">
      <c r="A15" s="203" t="s">
        <v>361</v>
      </c>
      <c r="B15">
        <f>B6/$B$3</f>
        <v>320</v>
      </c>
      <c r="C15">
        <f>C6/$B$3</f>
        <v>296.29629629629625</v>
      </c>
      <c r="D15">
        <f>D6/$B$3</f>
        <v>275.86206896551721</v>
      </c>
      <c r="F15" s="204">
        <f>F6/$B$3</f>
        <v>40</v>
      </c>
    </row>
    <row r="17" spans="2:13" ht="14.7" thickBot="1" x14ac:dyDescent="0.6"/>
    <row r="18" spans="2:13" ht="14.7" thickTop="1" x14ac:dyDescent="0.55000000000000004">
      <c r="B18">
        <v>1</v>
      </c>
      <c r="F18" s="211"/>
      <c r="J18" s="212" t="s">
        <v>353</v>
      </c>
    </row>
    <row r="19" spans="2:13" x14ac:dyDescent="0.55000000000000004">
      <c r="F19" s="213"/>
    </row>
    <row r="20" spans="2:13" x14ac:dyDescent="0.55000000000000004">
      <c r="F20" s="213"/>
      <c r="G20" s="214"/>
      <c r="H20" s="215"/>
      <c r="I20" s="215" t="s">
        <v>355</v>
      </c>
      <c r="K20" s="215"/>
      <c r="L20" s="215"/>
      <c r="M20" s="215" t="s">
        <v>355</v>
      </c>
    </row>
    <row r="21" spans="2:13" x14ac:dyDescent="0.55000000000000004">
      <c r="F21" s="213"/>
    </row>
    <row r="22" spans="2:13" ht="14.7" thickBot="1" x14ac:dyDescent="0.6">
      <c r="B22" t="s">
        <v>362</v>
      </c>
      <c r="C22" s="163"/>
      <c r="D22" s="163"/>
      <c r="E22" s="163"/>
      <c r="F22" s="213"/>
      <c r="G22" s="216"/>
      <c r="H22" s="163"/>
      <c r="I22" s="163"/>
      <c r="K22" s="163"/>
      <c r="L22" s="163"/>
      <c r="M22" s="163"/>
    </row>
    <row r="23" spans="2:13" x14ac:dyDescent="0.55000000000000004">
      <c r="J23" s="217"/>
    </row>
    <row r="24" spans="2:13" x14ac:dyDescent="0.55000000000000004">
      <c r="F24" s="212" t="s">
        <v>353</v>
      </c>
      <c r="J24" s="217"/>
    </row>
    <row r="25" spans="2:13" x14ac:dyDescent="0.55000000000000004">
      <c r="J25" s="217"/>
    </row>
    <row r="26" spans="2:13" x14ac:dyDescent="0.55000000000000004">
      <c r="J26" s="217"/>
    </row>
    <row r="27" spans="2:13" x14ac:dyDescent="0.55000000000000004">
      <c r="J27" s="217"/>
    </row>
    <row r="28" spans="2:13" ht="14.7" thickBot="1" x14ac:dyDescent="0.6">
      <c r="B28">
        <v>0</v>
      </c>
      <c r="J28" s="218"/>
    </row>
    <row r="29" spans="2:13" ht="14.7" thickTop="1" x14ac:dyDescent="0.55000000000000004">
      <c r="F29" s="212"/>
      <c r="G29" s="215"/>
      <c r="H29" s="215" t="s">
        <v>352</v>
      </c>
      <c r="I29" s="2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3" workbookViewId="0">
      <selection activeCell="F28" sqref="F28"/>
    </sheetView>
  </sheetViews>
  <sheetFormatPr baseColWidth="10" defaultRowHeight="14.4" x14ac:dyDescent="0.55000000000000004"/>
  <cols>
    <col min="1" max="1" width="9.15625" customWidth="1"/>
    <col min="2" max="2" width="9.578125" customWidth="1"/>
    <col min="3" max="8" width="11.41796875" style="219" customWidth="1"/>
    <col min="258" max="258" width="9.15625" customWidth="1"/>
    <col min="259" max="259" width="9.578125" customWidth="1"/>
    <col min="260" max="265" width="11.41796875" customWidth="1"/>
    <col min="514" max="514" width="9.15625" customWidth="1"/>
    <col min="515" max="515" width="9.578125" customWidth="1"/>
    <col min="516" max="521" width="11.41796875" customWidth="1"/>
    <col min="770" max="770" width="9.15625" customWidth="1"/>
    <col min="771" max="771" width="9.578125" customWidth="1"/>
    <col min="772" max="777" width="11.41796875" customWidth="1"/>
    <col min="1026" max="1026" width="9.15625" customWidth="1"/>
    <col min="1027" max="1027" width="9.578125" customWidth="1"/>
    <col min="1028" max="1033" width="11.41796875" customWidth="1"/>
    <col min="1282" max="1282" width="9.15625" customWidth="1"/>
    <col min="1283" max="1283" width="9.578125" customWidth="1"/>
    <col min="1284" max="1289" width="11.41796875" customWidth="1"/>
    <col min="1538" max="1538" width="9.15625" customWidth="1"/>
    <col min="1539" max="1539" width="9.578125" customWidth="1"/>
    <col min="1540" max="1545" width="11.41796875" customWidth="1"/>
    <col min="1794" max="1794" width="9.15625" customWidth="1"/>
    <col min="1795" max="1795" width="9.578125" customWidth="1"/>
    <col min="1796" max="1801" width="11.41796875" customWidth="1"/>
    <col min="2050" max="2050" width="9.15625" customWidth="1"/>
    <col min="2051" max="2051" width="9.578125" customWidth="1"/>
    <col min="2052" max="2057" width="11.41796875" customWidth="1"/>
    <col min="2306" max="2306" width="9.15625" customWidth="1"/>
    <col min="2307" max="2307" width="9.578125" customWidth="1"/>
    <col min="2308" max="2313" width="11.41796875" customWidth="1"/>
    <col min="2562" max="2562" width="9.15625" customWidth="1"/>
    <col min="2563" max="2563" width="9.578125" customWidth="1"/>
    <col min="2564" max="2569" width="11.41796875" customWidth="1"/>
    <col min="2818" max="2818" width="9.15625" customWidth="1"/>
    <col min="2819" max="2819" width="9.578125" customWidth="1"/>
    <col min="2820" max="2825" width="11.41796875" customWidth="1"/>
    <col min="3074" max="3074" width="9.15625" customWidth="1"/>
    <col min="3075" max="3075" width="9.578125" customWidth="1"/>
    <col min="3076" max="3081" width="11.41796875" customWidth="1"/>
    <col min="3330" max="3330" width="9.15625" customWidth="1"/>
    <col min="3331" max="3331" width="9.578125" customWidth="1"/>
    <col min="3332" max="3337" width="11.41796875" customWidth="1"/>
    <col min="3586" max="3586" width="9.15625" customWidth="1"/>
    <col min="3587" max="3587" width="9.578125" customWidth="1"/>
    <col min="3588" max="3593" width="11.41796875" customWidth="1"/>
    <col min="3842" max="3842" width="9.15625" customWidth="1"/>
    <col min="3843" max="3843" width="9.578125" customWidth="1"/>
    <col min="3844" max="3849" width="11.41796875" customWidth="1"/>
    <col min="4098" max="4098" width="9.15625" customWidth="1"/>
    <col min="4099" max="4099" width="9.578125" customWidth="1"/>
    <col min="4100" max="4105" width="11.41796875" customWidth="1"/>
    <col min="4354" max="4354" width="9.15625" customWidth="1"/>
    <col min="4355" max="4355" width="9.578125" customWidth="1"/>
    <col min="4356" max="4361" width="11.41796875" customWidth="1"/>
    <col min="4610" max="4610" width="9.15625" customWidth="1"/>
    <col min="4611" max="4611" width="9.578125" customWidth="1"/>
    <col min="4612" max="4617" width="11.41796875" customWidth="1"/>
    <col min="4866" max="4866" width="9.15625" customWidth="1"/>
    <col min="4867" max="4867" width="9.578125" customWidth="1"/>
    <col min="4868" max="4873" width="11.41796875" customWidth="1"/>
    <col min="5122" max="5122" width="9.15625" customWidth="1"/>
    <col min="5123" max="5123" width="9.578125" customWidth="1"/>
    <col min="5124" max="5129" width="11.41796875" customWidth="1"/>
    <col min="5378" max="5378" width="9.15625" customWidth="1"/>
    <col min="5379" max="5379" width="9.578125" customWidth="1"/>
    <col min="5380" max="5385" width="11.41796875" customWidth="1"/>
    <col min="5634" max="5634" width="9.15625" customWidth="1"/>
    <col min="5635" max="5635" width="9.578125" customWidth="1"/>
    <col min="5636" max="5641" width="11.41796875" customWidth="1"/>
    <col min="5890" max="5890" width="9.15625" customWidth="1"/>
    <col min="5891" max="5891" width="9.578125" customWidth="1"/>
    <col min="5892" max="5897" width="11.41796875" customWidth="1"/>
    <col min="6146" max="6146" width="9.15625" customWidth="1"/>
    <col min="6147" max="6147" width="9.578125" customWidth="1"/>
    <col min="6148" max="6153" width="11.41796875" customWidth="1"/>
    <col min="6402" max="6402" width="9.15625" customWidth="1"/>
    <col min="6403" max="6403" width="9.578125" customWidth="1"/>
    <col min="6404" max="6409" width="11.41796875" customWidth="1"/>
    <col min="6658" max="6658" width="9.15625" customWidth="1"/>
    <col min="6659" max="6659" width="9.578125" customWidth="1"/>
    <col min="6660" max="6665" width="11.41796875" customWidth="1"/>
    <col min="6914" max="6914" width="9.15625" customWidth="1"/>
    <col min="6915" max="6915" width="9.578125" customWidth="1"/>
    <col min="6916" max="6921" width="11.41796875" customWidth="1"/>
    <col min="7170" max="7170" width="9.15625" customWidth="1"/>
    <col min="7171" max="7171" width="9.578125" customWidth="1"/>
    <col min="7172" max="7177" width="11.41796875" customWidth="1"/>
    <col min="7426" max="7426" width="9.15625" customWidth="1"/>
    <col min="7427" max="7427" width="9.578125" customWidth="1"/>
    <col min="7428" max="7433" width="11.41796875" customWidth="1"/>
    <col min="7682" max="7682" width="9.15625" customWidth="1"/>
    <col min="7683" max="7683" width="9.578125" customWidth="1"/>
    <col min="7684" max="7689" width="11.41796875" customWidth="1"/>
    <col min="7938" max="7938" width="9.15625" customWidth="1"/>
    <col min="7939" max="7939" width="9.578125" customWidth="1"/>
    <col min="7940" max="7945" width="11.41796875" customWidth="1"/>
    <col min="8194" max="8194" width="9.15625" customWidth="1"/>
    <col min="8195" max="8195" width="9.578125" customWidth="1"/>
    <col min="8196" max="8201" width="11.41796875" customWidth="1"/>
    <col min="8450" max="8450" width="9.15625" customWidth="1"/>
    <col min="8451" max="8451" width="9.578125" customWidth="1"/>
    <col min="8452" max="8457" width="11.41796875" customWidth="1"/>
    <col min="8706" max="8706" width="9.15625" customWidth="1"/>
    <col min="8707" max="8707" width="9.578125" customWidth="1"/>
    <col min="8708" max="8713" width="11.41796875" customWidth="1"/>
    <col min="8962" max="8962" width="9.15625" customWidth="1"/>
    <col min="8963" max="8963" width="9.578125" customWidth="1"/>
    <col min="8964" max="8969" width="11.41796875" customWidth="1"/>
    <col min="9218" max="9218" width="9.15625" customWidth="1"/>
    <col min="9219" max="9219" width="9.578125" customWidth="1"/>
    <col min="9220" max="9225" width="11.41796875" customWidth="1"/>
    <col min="9474" max="9474" width="9.15625" customWidth="1"/>
    <col min="9475" max="9475" width="9.578125" customWidth="1"/>
    <col min="9476" max="9481" width="11.41796875" customWidth="1"/>
    <col min="9730" max="9730" width="9.15625" customWidth="1"/>
    <col min="9731" max="9731" width="9.578125" customWidth="1"/>
    <col min="9732" max="9737" width="11.41796875" customWidth="1"/>
    <col min="9986" max="9986" width="9.15625" customWidth="1"/>
    <col min="9987" max="9987" width="9.578125" customWidth="1"/>
    <col min="9988" max="9993" width="11.41796875" customWidth="1"/>
    <col min="10242" max="10242" width="9.15625" customWidth="1"/>
    <col min="10243" max="10243" width="9.578125" customWidth="1"/>
    <col min="10244" max="10249" width="11.41796875" customWidth="1"/>
    <col min="10498" max="10498" width="9.15625" customWidth="1"/>
    <col min="10499" max="10499" width="9.578125" customWidth="1"/>
    <col min="10500" max="10505" width="11.41796875" customWidth="1"/>
    <col min="10754" max="10754" width="9.15625" customWidth="1"/>
    <col min="10755" max="10755" width="9.578125" customWidth="1"/>
    <col min="10756" max="10761" width="11.41796875" customWidth="1"/>
    <col min="11010" max="11010" width="9.15625" customWidth="1"/>
    <col min="11011" max="11011" width="9.578125" customWidth="1"/>
    <col min="11012" max="11017" width="11.41796875" customWidth="1"/>
    <col min="11266" max="11266" width="9.15625" customWidth="1"/>
    <col min="11267" max="11267" width="9.578125" customWidth="1"/>
    <col min="11268" max="11273" width="11.41796875" customWidth="1"/>
    <col min="11522" max="11522" width="9.15625" customWidth="1"/>
    <col min="11523" max="11523" width="9.578125" customWidth="1"/>
    <col min="11524" max="11529" width="11.41796875" customWidth="1"/>
    <col min="11778" max="11778" width="9.15625" customWidth="1"/>
    <col min="11779" max="11779" width="9.578125" customWidth="1"/>
    <col min="11780" max="11785" width="11.41796875" customWidth="1"/>
    <col min="12034" max="12034" width="9.15625" customWidth="1"/>
    <col min="12035" max="12035" width="9.578125" customWidth="1"/>
    <col min="12036" max="12041" width="11.41796875" customWidth="1"/>
    <col min="12290" max="12290" width="9.15625" customWidth="1"/>
    <col min="12291" max="12291" width="9.578125" customWidth="1"/>
    <col min="12292" max="12297" width="11.41796875" customWidth="1"/>
    <col min="12546" max="12546" width="9.15625" customWidth="1"/>
    <col min="12547" max="12547" width="9.578125" customWidth="1"/>
    <col min="12548" max="12553" width="11.41796875" customWidth="1"/>
    <col min="12802" max="12802" width="9.15625" customWidth="1"/>
    <col min="12803" max="12803" width="9.578125" customWidth="1"/>
    <col min="12804" max="12809" width="11.41796875" customWidth="1"/>
    <col min="13058" max="13058" width="9.15625" customWidth="1"/>
    <col min="13059" max="13059" width="9.578125" customWidth="1"/>
    <col min="13060" max="13065" width="11.41796875" customWidth="1"/>
    <col min="13314" max="13314" width="9.15625" customWidth="1"/>
    <col min="13315" max="13315" width="9.578125" customWidth="1"/>
    <col min="13316" max="13321" width="11.41796875" customWidth="1"/>
    <col min="13570" max="13570" width="9.15625" customWidth="1"/>
    <col min="13571" max="13571" width="9.578125" customWidth="1"/>
    <col min="13572" max="13577" width="11.41796875" customWidth="1"/>
    <col min="13826" max="13826" width="9.15625" customWidth="1"/>
    <col min="13827" max="13827" width="9.578125" customWidth="1"/>
    <col min="13828" max="13833" width="11.41796875" customWidth="1"/>
    <col min="14082" max="14082" width="9.15625" customWidth="1"/>
    <col min="14083" max="14083" width="9.578125" customWidth="1"/>
    <col min="14084" max="14089" width="11.41796875" customWidth="1"/>
    <col min="14338" max="14338" width="9.15625" customWidth="1"/>
    <col min="14339" max="14339" width="9.578125" customWidth="1"/>
    <col min="14340" max="14345" width="11.41796875" customWidth="1"/>
    <col min="14594" max="14594" width="9.15625" customWidth="1"/>
    <col min="14595" max="14595" width="9.578125" customWidth="1"/>
    <col min="14596" max="14601" width="11.41796875" customWidth="1"/>
    <col min="14850" max="14850" width="9.15625" customWidth="1"/>
    <col min="14851" max="14851" width="9.578125" customWidth="1"/>
    <col min="14852" max="14857" width="11.41796875" customWidth="1"/>
    <col min="15106" max="15106" width="9.15625" customWidth="1"/>
    <col min="15107" max="15107" width="9.578125" customWidth="1"/>
    <col min="15108" max="15113" width="11.41796875" customWidth="1"/>
    <col min="15362" max="15362" width="9.15625" customWidth="1"/>
    <col min="15363" max="15363" width="9.578125" customWidth="1"/>
    <col min="15364" max="15369" width="11.41796875" customWidth="1"/>
    <col min="15618" max="15618" width="9.15625" customWidth="1"/>
    <col min="15619" max="15619" width="9.578125" customWidth="1"/>
    <col min="15620" max="15625" width="11.41796875" customWidth="1"/>
    <col min="15874" max="15874" width="9.15625" customWidth="1"/>
    <col min="15875" max="15875" width="9.578125" customWidth="1"/>
    <col min="15876" max="15881" width="11.41796875" customWidth="1"/>
    <col min="16130" max="16130" width="9.15625" customWidth="1"/>
    <col min="16131" max="16131" width="9.578125" customWidth="1"/>
    <col min="16132" max="16137" width="11.41796875" customWidth="1"/>
  </cols>
  <sheetData>
    <row r="1" spans="1:16" ht="14.7" thickBot="1" x14ac:dyDescent="0.6">
      <c r="A1" s="186" t="s">
        <v>363</v>
      </c>
      <c r="B1" s="186"/>
      <c r="C1" s="202"/>
      <c r="D1" s="202"/>
      <c r="E1" s="202"/>
      <c r="F1" s="202"/>
    </row>
    <row r="2" spans="1:16" x14ac:dyDescent="0.55000000000000004">
      <c r="K2" s="351" t="s">
        <v>364</v>
      </c>
      <c r="L2" s="352"/>
      <c r="M2" s="352"/>
      <c r="N2" s="352" t="s">
        <v>365</v>
      </c>
      <c r="O2" s="352"/>
      <c r="P2" s="353"/>
    </row>
    <row r="3" spans="1:16" ht="14.7" thickBot="1" x14ac:dyDescent="0.6">
      <c r="A3" s="357" t="s">
        <v>366</v>
      </c>
      <c r="B3" s="357" t="s">
        <v>367</v>
      </c>
      <c r="C3" s="358" t="s">
        <v>368</v>
      </c>
      <c r="D3" s="358"/>
      <c r="E3" s="358"/>
      <c r="F3" s="358"/>
      <c r="G3" s="358" t="s">
        <v>368</v>
      </c>
      <c r="H3" s="358" t="s">
        <v>369</v>
      </c>
      <c r="I3" s="357" t="s">
        <v>370</v>
      </c>
      <c r="K3" s="354" t="s">
        <v>371</v>
      </c>
      <c r="L3" s="355"/>
      <c r="M3" s="355"/>
      <c r="N3" s="355" t="s">
        <v>372</v>
      </c>
      <c r="O3" s="355"/>
      <c r="P3" s="356"/>
    </row>
    <row r="4" spans="1:16" ht="114" x14ac:dyDescent="0.55000000000000004">
      <c r="A4" s="220" t="s">
        <v>373</v>
      </c>
      <c r="B4" s="220" t="s">
        <v>374</v>
      </c>
      <c r="C4" s="221" t="s">
        <v>448</v>
      </c>
      <c r="D4" s="221" t="s">
        <v>453</v>
      </c>
      <c r="E4" s="221" t="s">
        <v>452</v>
      </c>
      <c r="F4" s="221" t="s">
        <v>454</v>
      </c>
      <c r="G4" s="221" t="s">
        <v>455</v>
      </c>
      <c r="H4" s="221" t="s">
        <v>456</v>
      </c>
      <c r="I4" s="220" t="s">
        <v>458</v>
      </c>
      <c r="J4" s="220" t="s">
        <v>458</v>
      </c>
      <c r="K4" s="220" t="s">
        <v>457</v>
      </c>
    </row>
    <row r="5" spans="1:16" x14ac:dyDescent="0.55000000000000004">
      <c r="A5">
        <v>98</v>
      </c>
      <c r="B5" s="219" t="s">
        <v>375</v>
      </c>
      <c r="C5" s="219" t="s">
        <v>376</v>
      </c>
      <c r="D5" s="337">
        <f t="shared" ref="D5:D26" si="0">_xlfn.BITRSHIFT(HEX2DEC(B5),4)</f>
        <v>1</v>
      </c>
      <c r="E5" s="219">
        <f>POWER(2,9+D5)</f>
        <v>1024</v>
      </c>
      <c r="F5" s="337">
        <f t="shared" ref="F5:F26" si="1">HEX2DEC(B5)-D5*16+1</f>
        <v>16</v>
      </c>
      <c r="G5" s="219">
        <f>F5*E5</f>
        <v>16384</v>
      </c>
      <c r="H5" s="219">
        <f>G5*A5</f>
        <v>1605632</v>
      </c>
      <c r="I5">
        <f>H5/16000</f>
        <v>100.352</v>
      </c>
      <c r="J5">
        <f>K5*A5</f>
        <v>100.352</v>
      </c>
      <c r="K5">
        <f>G5*1000/16000000</f>
        <v>1.024</v>
      </c>
    </row>
    <row r="6" spans="1:16" x14ac:dyDescent="0.55000000000000004">
      <c r="A6">
        <v>98</v>
      </c>
      <c r="B6">
        <v>50</v>
      </c>
      <c r="C6" s="219" t="s">
        <v>377</v>
      </c>
      <c r="D6" s="337">
        <f t="shared" si="0"/>
        <v>5</v>
      </c>
      <c r="E6" s="219">
        <f t="shared" ref="E6:E19" si="2">POWER(2,9+D6)</f>
        <v>16384</v>
      </c>
      <c r="F6" s="337">
        <f t="shared" si="1"/>
        <v>1</v>
      </c>
      <c r="G6" s="219">
        <f t="shared" ref="G6:G19" si="3">F6*E6</f>
        <v>16384</v>
      </c>
      <c r="H6" s="219">
        <f t="shared" ref="H6:H19" si="4">G6*A6</f>
        <v>1605632</v>
      </c>
      <c r="I6">
        <f t="shared" ref="I6:I19" si="5">H6/16000</f>
        <v>100.352</v>
      </c>
      <c r="J6">
        <f t="shared" ref="J6:J26" si="6">K6*A6</f>
        <v>100.352</v>
      </c>
      <c r="K6">
        <f>G6*1000/16000000</f>
        <v>1.024</v>
      </c>
    </row>
    <row r="7" spans="1:16" ht="14.7" thickBot="1" x14ac:dyDescent="0.6">
      <c r="A7">
        <v>98</v>
      </c>
      <c r="B7">
        <v>41</v>
      </c>
      <c r="C7" s="219" t="s">
        <v>378</v>
      </c>
      <c r="D7" s="337">
        <f t="shared" si="0"/>
        <v>4</v>
      </c>
      <c r="E7" s="219">
        <f t="shared" si="2"/>
        <v>8192</v>
      </c>
      <c r="F7" s="337">
        <f t="shared" si="1"/>
        <v>2</v>
      </c>
      <c r="G7" s="219">
        <f t="shared" si="3"/>
        <v>16384</v>
      </c>
      <c r="H7" s="219">
        <f t="shared" si="4"/>
        <v>1605632</v>
      </c>
      <c r="I7">
        <f t="shared" si="5"/>
        <v>100.352</v>
      </c>
      <c r="J7">
        <f t="shared" si="6"/>
        <v>100.352</v>
      </c>
      <c r="K7">
        <f t="shared" ref="K7:K26" si="7">G7*1000/16000000</f>
        <v>1.024</v>
      </c>
      <c r="N7" s="163"/>
    </row>
    <row r="8" spans="1:16" x14ac:dyDescent="0.55000000000000004">
      <c r="A8">
        <v>98</v>
      </c>
      <c r="B8">
        <v>33</v>
      </c>
      <c r="C8" s="219" t="s">
        <v>379</v>
      </c>
      <c r="D8" s="337">
        <f t="shared" si="0"/>
        <v>3</v>
      </c>
      <c r="E8" s="219">
        <f t="shared" si="2"/>
        <v>4096</v>
      </c>
      <c r="F8" s="337">
        <f t="shared" si="1"/>
        <v>4</v>
      </c>
      <c r="G8" s="219">
        <f t="shared" si="3"/>
        <v>16384</v>
      </c>
      <c r="H8" s="219">
        <f t="shared" si="4"/>
        <v>1605632</v>
      </c>
      <c r="I8">
        <f t="shared" si="5"/>
        <v>100.352</v>
      </c>
      <c r="J8">
        <f t="shared" si="6"/>
        <v>100.352</v>
      </c>
      <c r="K8">
        <f t="shared" si="7"/>
        <v>1.024</v>
      </c>
      <c r="N8" s="222"/>
    </row>
    <row r="9" spans="1:16" ht="14.7" thickBot="1" x14ac:dyDescent="0.6">
      <c r="A9">
        <v>98</v>
      </c>
      <c r="B9">
        <v>27</v>
      </c>
      <c r="C9" s="219" t="s">
        <v>380</v>
      </c>
      <c r="D9" s="337">
        <f t="shared" si="0"/>
        <v>2</v>
      </c>
      <c r="E9" s="219">
        <f t="shared" si="2"/>
        <v>2048</v>
      </c>
      <c r="F9" s="337">
        <f t="shared" si="1"/>
        <v>8</v>
      </c>
      <c r="G9" s="219">
        <f t="shared" si="3"/>
        <v>16384</v>
      </c>
      <c r="H9" s="219">
        <f t="shared" si="4"/>
        <v>1605632</v>
      </c>
      <c r="I9">
        <f t="shared" si="5"/>
        <v>100.352</v>
      </c>
      <c r="J9">
        <f t="shared" si="6"/>
        <v>100.352</v>
      </c>
      <c r="K9">
        <f t="shared" si="7"/>
        <v>1.024</v>
      </c>
      <c r="N9" s="217"/>
    </row>
    <row r="10" spans="1:16" x14ac:dyDescent="0.55000000000000004">
      <c r="A10" s="120">
        <v>196</v>
      </c>
      <c r="B10" s="121">
        <v>17</v>
      </c>
      <c r="C10" s="341" t="s">
        <v>381</v>
      </c>
      <c r="D10" s="337">
        <f t="shared" si="0"/>
        <v>1</v>
      </c>
      <c r="E10" s="341">
        <f t="shared" si="2"/>
        <v>1024</v>
      </c>
      <c r="F10" s="337">
        <f t="shared" si="1"/>
        <v>8</v>
      </c>
      <c r="G10" s="341">
        <f t="shared" si="3"/>
        <v>8192</v>
      </c>
      <c r="H10" s="341">
        <f t="shared" si="4"/>
        <v>1605632</v>
      </c>
      <c r="I10" s="121">
        <f t="shared" si="5"/>
        <v>100.352</v>
      </c>
      <c r="J10">
        <f t="shared" si="6"/>
        <v>100.352</v>
      </c>
      <c r="K10">
        <f t="shared" si="7"/>
        <v>0.51200000000000001</v>
      </c>
      <c r="L10" s="44"/>
      <c r="N10" s="217"/>
    </row>
    <row r="11" spans="1:16" ht="14.7" thickBot="1" x14ac:dyDescent="0.6">
      <c r="A11" s="162">
        <v>196</v>
      </c>
      <c r="B11" s="163">
        <v>23</v>
      </c>
      <c r="C11" s="342" t="s">
        <v>382</v>
      </c>
      <c r="D11" s="337">
        <f t="shared" si="0"/>
        <v>2</v>
      </c>
      <c r="E11" s="342">
        <f t="shared" si="2"/>
        <v>2048</v>
      </c>
      <c r="F11" s="337">
        <f t="shared" si="1"/>
        <v>4</v>
      </c>
      <c r="G11" s="342">
        <f t="shared" si="3"/>
        <v>8192</v>
      </c>
      <c r="H11" s="342">
        <f t="shared" si="4"/>
        <v>1605632</v>
      </c>
      <c r="I11" s="163">
        <f t="shared" si="5"/>
        <v>100.352</v>
      </c>
      <c r="J11">
        <f t="shared" si="6"/>
        <v>100.352</v>
      </c>
      <c r="K11">
        <f t="shared" si="7"/>
        <v>0.51200000000000001</v>
      </c>
      <c r="M11" s="163"/>
      <c r="N11" s="217"/>
      <c r="P11" s="163"/>
    </row>
    <row r="12" spans="1:16" x14ac:dyDescent="0.55000000000000004">
      <c r="A12">
        <v>49</v>
      </c>
      <c r="B12">
        <v>51</v>
      </c>
      <c r="C12" s="219" t="s">
        <v>383</v>
      </c>
      <c r="D12" s="337">
        <f t="shared" si="0"/>
        <v>5</v>
      </c>
      <c r="E12" s="219">
        <f t="shared" si="2"/>
        <v>16384</v>
      </c>
      <c r="F12" s="337">
        <f t="shared" si="1"/>
        <v>2</v>
      </c>
      <c r="G12" s="219">
        <f t="shared" si="3"/>
        <v>32768</v>
      </c>
      <c r="H12" s="219">
        <f t="shared" si="4"/>
        <v>1605632</v>
      </c>
      <c r="I12">
        <f t="shared" si="5"/>
        <v>100.352</v>
      </c>
      <c r="J12">
        <f t="shared" si="6"/>
        <v>100.352</v>
      </c>
      <c r="K12">
        <f t="shared" si="7"/>
        <v>2.048</v>
      </c>
      <c r="O12" s="217"/>
    </row>
    <row r="13" spans="1:16" x14ac:dyDescent="0.55000000000000004">
      <c r="A13">
        <v>49</v>
      </c>
      <c r="B13">
        <v>60</v>
      </c>
      <c r="C13" s="219" t="s">
        <v>384</v>
      </c>
      <c r="D13" s="337">
        <f t="shared" si="0"/>
        <v>6</v>
      </c>
      <c r="E13" s="219">
        <f t="shared" si="2"/>
        <v>32768</v>
      </c>
      <c r="F13" s="337">
        <f t="shared" si="1"/>
        <v>1</v>
      </c>
      <c r="G13" s="219">
        <f t="shared" si="3"/>
        <v>32768</v>
      </c>
      <c r="H13" s="219">
        <f t="shared" si="4"/>
        <v>1605632</v>
      </c>
      <c r="I13">
        <f t="shared" si="5"/>
        <v>100.352</v>
      </c>
      <c r="J13">
        <f t="shared" si="6"/>
        <v>100.352</v>
      </c>
      <c r="K13">
        <f t="shared" si="7"/>
        <v>2.048</v>
      </c>
      <c r="O13" s="217"/>
    </row>
    <row r="14" spans="1:16" x14ac:dyDescent="0.55000000000000004">
      <c r="A14">
        <v>49</v>
      </c>
      <c r="B14">
        <v>43</v>
      </c>
      <c r="C14" s="219" t="s">
        <v>385</v>
      </c>
      <c r="D14" s="337">
        <f t="shared" si="0"/>
        <v>4</v>
      </c>
      <c r="E14" s="219">
        <f t="shared" si="2"/>
        <v>8192</v>
      </c>
      <c r="F14" s="337">
        <f t="shared" si="1"/>
        <v>4</v>
      </c>
      <c r="G14" s="219">
        <f t="shared" si="3"/>
        <v>32768</v>
      </c>
      <c r="H14" s="219">
        <f t="shared" si="4"/>
        <v>1605632</v>
      </c>
      <c r="I14">
        <f t="shared" si="5"/>
        <v>100.352</v>
      </c>
      <c r="J14">
        <f t="shared" si="6"/>
        <v>100.352</v>
      </c>
      <c r="K14">
        <f t="shared" si="7"/>
        <v>2.048</v>
      </c>
      <c r="O14" s="217"/>
    </row>
    <row r="15" spans="1:16" ht="14.7" thickBot="1" x14ac:dyDescent="0.6">
      <c r="A15">
        <v>49</v>
      </c>
      <c r="B15">
        <v>37</v>
      </c>
      <c r="C15" s="219" t="s">
        <v>386</v>
      </c>
      <c r="D15" s="337">
        <f t="shared" si="0"/>
        <v>3</v>
      </c>
      <c r="E15" s="219">
        <f t="shared" si="2"/>
        <v>4096</v>
      </c>
      <c r="F15" s="337">
        <f t="shared" si="1"/>
        <v>8</v>
      </c>
      <c r="G15" s="219">
        <f t="shared" si="3"/>
        <v>32768</v>
      </c>
      <c r="H15" s="219">
        <f t="shared" si="4"/>
        <v>1605632</v>
      </c>
      <c r="I15">
        <f t="shared" si="5"/>
        <v>100.352</v>
      </c>
      <c r="J15">
        <f t="shared" si="6"/>
        <v>100.352</v>
      </c>
      <c r="K15">
        <f t="shared" si="7"/>
        <v>2.048</v>
      </c>
      <c r="O15" s="218"/>
    </row>
    <row r="16" spans="1:16" ht="14.7" thickTop="1" x14ac:dyDescent="0.55000000000000004">
      <c r="A16">
        <v>49</v>
      </c>
      <c r="B16" s="219" t="s">
        <v>387</v>
      </c>
      <c r="C16" s="219" t="s">
        <v>388</v>
      </c>
      <c r="D16" s="337">
        <f t="shared" si="0"/>
        <v>2</v>
      </c>
      <c r="E16" s="219">
        <f t="shared" si="2"/>
        <v>2048</v>
      </c>
      <c r="F16" s="337">
        <f t="shared" si="1"/>
        <v>16</v>
      </c>
      <c r="G16" s="219">
        <f t="shared" si="3"/>
        <v>32768</v>
      </c>
      <c r="H16" s="219">
        <f t="shared" si="4"/>
        <v>1605632</v>
      </c>
      <c r="I16">
        <f t="shared" si="5"/>
        <v>100.352</v>
      </c>
      <c r="J16">
        <f t="shared" si="6"/>
        <v>100.352</v>
      </c>
      <c r="K16">
        <f t="shared" si="7"/>
        <v>2.048</v>
      </c>
    </row>
    <row r="17" spans="1:12" ht="14.7" thickBot="1" x14ac:dyDescent="0.6">
      <c r="A17" s="336">
        <v>14</v>
      </c>
      <c r="B17" s="336">
        <v>56</v>
      </c>
      <c r="C17" s="337" t="s">
        <v>449</v>
      </c>
      <c r="D17" s="337">
        <f t="shared" si="0"/>
        <v>5</v>
      </c>
      <c r="E17" s="337">
        <f t="shared" si="2"/>
        <v>16384</v>
      </c>
      <c r="F17" s="337">
        <f t="shared" si="1"/>
        <v>7</v>
      </c>
      <c r="G17" s="337">
        <f t="shared" si="3"/>
        <v>114688</v>
      </c>
      <c r="H17" s="337">
        <f t="shared" si="4"/>
        <v>1605632</v>
      </c>
      <c r="I17" s="336">
        <f t="shared" si="5"/>
        <v>100.352</v>
      </c>
      <c r="J17">
        <f t="shared" si="6"/>
        <v>100.352</v>
      </c>
      <c r="K17">
        <f t="shared" si="7"/>
        <v>7.1680000000000001</v>
      </c>
    </row>
    <row r="18" spans="1:12" x14ac:dyDescent="0.55000000000000004">
      <c r="A18" s="120">
        <v>7</v>
      </c>
      <c r="B18" s="121">
        <v>66</v>
      </c>
      <c r="C18" s="341" t="s">
        <v>389</v>
      </c>
      <c r="D18" s="337">
        <f t="shared" si="0"/>
        <v>6</v>
      </c>
      <c r="E18" s="341">
        <f t="shared" si="2"/>
        <v>32768</v>
      </c>
      <c r="F18" s="337">
        <f t="shared" si="1"/>
        <v>7</v>
      </c>
      <c r="G18" s="341">
        <f t="shared" si="3"/>
        <v>229376</v>
      </c>
      <c r="H18" s="341">
        <f t="shared" si="4"/>
        <v>1605632</v>
      </c>
      <c r="I18" s="121">
        <f t="shared" si="5"/>
        <v>100.352</v>
      </c>
      <c r="J18">
        <f t="shared" si="6"/>
        <v>100.352</v>
      </c>
      <c r="K18">
        <f t="shared" si="7"/>
        <v>14.336</v>
      </c>
      <c r="L18" s="44"/>
    </row>
    <row r="19" spans="1:12" ht="14.7" thickBot="1" x14ac:dyDescent="0.6">
      <c r="A19" s="343">
        <v>7</v>
      </c>
      <c r="B19" s="344" t="s">
        <v>390</v>
      </c>
      <c r="C19" s="344" t="s">
        <v>391</v>
      </c>
      <c r="D19" s="337">
        <f t="shared" si="0"/>
        <v>5</v>
      </c>
      <c r="E19" s="344">
        <f t="shared" si="2"/>
        <v>16384</v>
      </c>
      <c r="F19" s="337">
        <f t="shared" si="1"/>
        <v>14</v>
      </c>
      <c r="G19" s="344">
        <f t="shared" si="3"/>
        <v>229376</v>
      </c>
      <c r="H19" s="344">
        <f t="shared" si="4"/>
        <v>1605632</v>
      </c>
      <c r="I19" s="345">
        <f t="shared" si="5"/>
        <v>100.352</v>
      </c>
      <c r="J19">
        <f t="shared" si="6"/>
        <v>100.352</v>
      </c>
      <c r="K19">
        <f t="shared" si="7"/>
        <v>14.336</v>
      </c>
      <c r="L19" s="44"/>
    </row>
    <row r="20" spans="1:12" x14ac:dyDescent="0.55000000000000004">
      <c r="A20" s="336">
        <v>1</v>
      </c>
      <c r="B20" s="337" t="s">
        <v>390</v>
      </c>
      <c r="C20" s="337" t="s">
        <v>391</v>
      </c>
      <c r="D20" s="337">
        <f t="shared" si="0"/>
        <v>5</v>
      </c>
      <c r="E20" s="337">
        <f t="shared" ref="E20:E21" si="8">POWER(2,9+D20)</f>
        <v>16384</v>
      </c>
      <c r="F20" s="337">
        <f t="shared" si="1"/>
        <v>14</v>
      </c>
      <c r="G20" s="337">
        <f t="shared" ref="G20:G21" si="9">F20*E20</f>
        <v>229376</v>
      </c>
      <c r="H20" s="337">
        <f t="shared" ref="H20:H21" si="10">G20*A20</f>
        <v>229376</v>
      </c>
      <c r="I20" s="336">
        <f t="shared" ref="I20:I21" si="11">H20/16000</f>
        <v>14.336</v>
      </c>
      <c r="J20">
        <f t="shared" si="6"/>
        <v>14.336</v>
      </c>
      <c r="K20">
        <f t="shared" si="7"/>
        <v>14.336</v>
      </c>
    </row>
    <row r="21" spans="1:12" ht="14.7" thickBot="1" x14ac:dyDescent="0.6">
      <c r="A21">
        <v>1</v>
      </c>
      <c r="B21">
        <v>66</v>
      </c>
      <c r="C21" s="219" t="s">
        <v>389</v>
      </c>
      <c r="D21" s="337">
        <f t="shared" si="0"/>
        <v>6</v>
      </c>
      <c r="E21" s="219">
        <f t="shared" si="8"/>
        <v>32768</v>
      </c>
      <c r="F21" s="337">
        <f t="shared" si="1"/>
        <v>7</v>
      </c>
      <c r="G21" s="219">
        <f t="shared" si="9"/>
        <v>229376</v>
      </c>
      <c r="H21" s="219">
        <f t="shared" si="10"/>
        <v>229376</v>
      </c>
      <c r="I21">
        <f t="shared" si="11"/>
        <v>14.336</v>
      </c>
      <c r="J21">
        <f t="shared" si="6"/>
        <v>14.336</v>
      </c>
      <c r="K21">
        <f t="shared" si="7"/>
        <v>14.336</v>
      </c>
    </row>
    <row r="22" spans="1:12" ht="14.7" thickBot="1" x14ac:dyDescent="0.6">
      <c r="A22" s="346">
        <v>49</v>
      </c>
      <c r="B22" s="347" t="s">
        <v>390</v>
      </c>
      <c r="C22" s="347" t="s">
        <v>391</v>
      </c>
      <c r="D22" s="337">
        <f t="shared" si="0"/>
        <v>5</v>
      </c>
      <c r="E22" s="347">
        <f t="shared" ref="E22:E23" si="12">POWER(2,9+D22)</f>
        <v>16384</v>
      </c>
      <c r="F22" s="337">
        <f t="shared" si="1"/>
        <v>14</v>
      </c>
      <c r="G22" s="347">
        <f t="shared" ref="G22:G23" si="13">F22*E22</f>
        <v>229376</v>
      </c>
      <c r="H22" s="347">
        <f t="shared" ref="H22:H23" si="14">G22*A22</f>
        <v>11239424</v>
      </c>
      <c r="I22" s="348">
        <f t="shared" ref="I22:I23" si="15">H22/16000</f>
        <v>702.46400000000006</v>
      </c>
      <c r="J22">
        <f t="shared" si="6"/>
        <v>702.46400000000006</v>
      </c>
      <c r="K22">
        <f t="shared" si="7"/>
        <v>14.336</v>
      </c>
      <c r="L22" s="44"/>
    </row>
    <row r="23" spans="1:12" x14ac:dyDescent="0.55000000000000004">
      <c r="A23" s="336">
        <v>14</v>
      </c>
      <c r="B23" s="337" t="s">
        <v>390</v>
      </c>
      <c r="C23" s="337" t="s">
        <v>391</v>
      </c>
      <c r="D23" s="337">
        <f t="shared" si="0"/>
        <v>5</v>
      </c>
      <c r="E23" s="337">
        <f t="shared" si="12"/>
        <v>16384</v>
      </c>
      <c r="F23" s="337">
        <f t="shared" si="1"/>
        <v>14</v>
      </c>
      <c r="G23" s="337">
        <f t="shared" si="13"/>
        <v>229376</v>
      </c>
      <c r="H23" s="337">
        <f t="shared" si="14"/>
        <v>3211264</v>
      </c>
      <c r="I23" s="336">
        <f t="shared" si="15"/>
        <v>200.70400000000001</v>
      </c>
      <c r="J23">
        <f t="shared" si="6"/>
        <v>200.70400000000001</v>
      </c>
      <c r="K23">
        <f t="shared" si="7"/>
        <v>14.336</v>
      </c>
    </row>
    <row r="24" spans="1:12" x14ac:dyDescent="0.55000000000000004">
      <c r="A24" s="336">
        <v>14</v>
      </c>
      <c r="B24" s="336">
        <v>66</v>
      </c>
      <c r="C24" s="337" t="s">
        <v>451</v>
      </c>
      <c r="D24" s="337">
        <f t="shared" si="0"/>
        <v>6</v>
      </c>
      <c r="E24" s="337">
        <f t="shared" ref="E24" si="16">POWER(2,9+D24)</f>
        <v>32768</v>
      </c>
      <c r="F24" s="337">
        <f t="shared" si="1"/>
        <v>7</v>
      </c>
      <c r="G24" s="337">
        <f t="shared" ref="G24" si="17">F24*E24</f>
        <v>229376</v>
      </c>
      <c r="H24" s="337">
        <f t="shared" ref="H24" si="18">G24*A24</f>
        <v>3211264</v>
      </c>
      <c r="I24" s="336">
        <f t="shared" ref="I24" si="19">H24/16000</f>
        <v>200.70400000000001</v>
      </c>
      <c r="J24">
        <f t="shared" si="6"/>
        <v>200.70400000000001</v>
      </c>
      <c r="K24">
        <f t="shared" si="7"/>
        <v>14.336</v>
      </c>
    </row>
    <row r="25" spans="1:12" x14ac:dyDescent="0.55000000000000004">
      <c r="A25" s="336">
        <v>14</v>
      </c>
      <c r="B25" s="336">
        <v>46</v>
      </c>
      <c r="C25" s="337" t="s">
        <v>450</v>
      </c>
      <c r="D25" s="337">
        <f t="shared" si="0"/>
        <v>4</v>
      </c>
      <c r="E25" s="337">
        <f t="shared" ref="E25:E26" si="20">POWER(2,9+D25)</f>
        <v>8192</v>
      </c>
      <c r="F25" s="337">
        <f t="shared" si="1"/>
        <v>7</v>
      </c>
      <c r="G25" s="337">
        <f t="shared" ref="G25:G26" si="21">F25*E25</f>
        <v>57344</v>
      </c>
      <c r="H25" s="337">
        <f t="shared" ref="H25:H26" si="22">G25*A25</f>
        <v>802816</v>
      </c>
      <c r="I25" s="336">
        <f t="shared" ref="I25:I26" si="23">H25/16000</f>
        <v>50.176000000000002</v>
      </c>
      <c r="J25">
        <f t="shared" si="6"/>
        <v>50.176000000000002</v>
      </c>
      <c r="K25">
        <f t="shared" si="7"/>
        <v>3.5840000000000001</v>
      </c>
    </row>
    <row r="26" spans="1:12" x14ac:dyDescent="0.55000000000000004">
      <c r="A26" s="349">
        <v>7</v>
      </c>
      <c r="B26" s="350">
        <v>44</v>
      </c>
      <c r="C26" s="219" t="s">
        <v>459</v>
      </c>
      <c r="D26" s="337">
        <f t="shared" si="0"/>
        <v>4</v>
      </c>
      <c r="E26" s="337">
        <f t="shared" si="20"/>
        <v>8192</v>
      </c>
      <c r="F26" s="337">
        <f t="shared" si="1"/>
        <v>5</v>
      </c>
      <c r="G26" s="337">
        <f t="shared" si="21"/>
        <v>40960</v>
      </c>
      <c r="H26" s="337">
        <f t="shared" si="22"/>
        <v>286720</v>
      </c>
      <c r="I26" s="336">
        <f t="shared" si="23"/>
        <v>17.920000000000002</v>
      </c>
      <c r="J26">
        <f t="shared" si="6"/>
        <v>17.920000000000002</v>
      </c>
      <c r="K26">
        <f t="shared" si="7"/>
        <v>2.56</v>
      </c>
    </row>
    <row r="27" spans="1:12" x14ac:dyDescent="0.55000000000000004">
      <c r="A27" s="336"/>
      <c r="B27" s="336"/>
      <c r="C27" s="337"/>
      <c r="D27" s="337"/>
      <c r="E27" s="337"/>
      <c r="F27" s="337"/>
      <c r="G27" s="337"/>
      <c r="H27" s="337"/>
      <c r="I27" s="336"/>
    </row>
    <row r="28" spans="1:12" x14ac:dyDescent="0.55000000000000004">
      <c r="A28" s="336"/>
      <c r="B28" s="336"/>
      <c r="C28" s="337"/>
      <c r="D28" s="337"/>
      <c r="E28" s="337"/>
      <c r="F28" s="337"/>
      <c r="G28" s="337"/>
      <c r="H28" s="337"/>
      <c r="I28" s="336"/>
    </row>
    <row r="29" spans="1:12" x14ac:dyDescent="0.55000000000000004">
      <c r="A29" s="336"/>
      <c r="B29" s="336"/>
      <c r="C29" s="337"/>
      <c r="D29" s="337"/>
      <c r="E29" s="337"/>
      <c r="F29" s="337"/>
      <c r="G29" s="337"/>
      <c r="H29" s="337"/>
      <c r="I29" s="336"/>
    </row>
    <row r="30" spans="1:12" x14ac:dyDescent="0.55000000000000004">
      <c r="A30" s="336"/>
      <c r="B30" s="336"/>
      <c r="C30" s="337"/>
      <c r="D30" s="337"/>
      <c r="E30" s="337"/>
      <c r="F30" s="337"/>
      <c r="G30" s="337"/>
      <c r="H30" s="337"/>
      <c r="I30" s="33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I329"/>
  <sheetViews>
    <sheetView workbookViewId="0">
      <selection activeCell="AE18" sqref="AE18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5" ht="17.7" x14ac:dyDescent="0.6">
      <c r="A1" s="5" t="s">
        <v>423</v>
      </c>
      <c r="B1" s="5"/>
      <c r="C1" s="5"/>
    </row>
    <row r="2" spans="1:35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2">
        <v>0</v>
      </c>
      <c r="Z2" s="62">
        <v>0</v>
      </c>
      <c r="AA2" s="4" t="s">
        <v>13</v>
      </c>
      <c r="AB2" s="4"/>
      <c r="AC2" s="4"/>
      <c r="AD2" s="4"/>
      <c r="AE2" s="4"/>
      <c r="AF2" s="4"/>
      <c r="AG2" s="4"/>
    </row>
    <row r="3" spans="1:35" ht="15.75" customHeight="1" x14ac:dyDescent="0.55000000000000004">
      <c r="A3"/>
      <c r="B3" s="3" t="s">
        <v>31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2">
        <v>0</v>
      </c>
      <c r="Z3" s="62">
        <v>1</v>
      </c>
      <c r="AA3" s="4" t="s">
        <v>14</v>
      </c>
      <c r="AB3" s="4"/>
      <c r="AC3" s="4"/>
      <c r="AD3" s="4"/>
      <c r="AE3" s="4"/>
      <c r="AF3" s="4"/>
      <c r="AG3" s="4"/>
    </row>
    <row r="4" spans="1:35" ht="15.6" thickBot="1" x14ac:dyDescent="0.6">
      <c r="A4" s="1"/>
      <c r="B4" s="3" t="s">
        <v>425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2">
        <v>1</v>
      </c>
      <c r="Z4" s="62">
        <v>0</v>
      </c>
      <c r="AA4" s="4" t="s">
        <v>15</v>
      </c>
      <c r="AB4" s="4"/>
      <c r="AC4" s="4"/>
      <c r="AD4" s="4"/>
      <c r="AE4" s="4"/>
      <c r="AF4" s="4"/>
      <c r="AG4" s="4"/>
    </row>
    <row r="5" spans="1:35" ht="15.6" thickBot="1" x14ac:dyDescent="0.6">
      <c r="A5" s="1"/>
      <c r="B5" s="3" t="s">
        <v>426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290">
        <v>1</v>
      </c>
      <c r="Z5" s="291">
        <v>1</v>
      </c>
      <c r="AA5" s="292" t="s">
        <v>16</v>
      </c>
      <c r="AB5" s="292"/>
      <c r="AC5" s="292"/>
      <c r="AD5" s="293"/>
      <c r="AE5" s="4"/>
      <c r="AF5" s="4"/>
      <c r="AG5" s="4"/>
    </row>
    <row r="6" spans="1:35" ht="15.6" thickBot="1" x14ac:dyDescent="0.6">
      <c r="A6" s="1"/>
      <c r="B6" s="3" t="s">
        <v>24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 t="s">
        <v>429</v>
      </c>
      <c r="Z6" s="34" t="s">
        <v>20</v>
      </c>
      <c r="AA6" s="34"/>
      <c r="AB6" s="35" t="s">
        <v>430</v>
      </c>
      <c r="AC6" s="34" t="s">
        <v>21</v>
      </c>
      <c r="AD6" s="34"/>
      <c r="AE6" s="4"/>
      <c r="AF6" s="4"/>
      <c r="AG6" s="4"/>
    </row>
    <row r="7" spans="1:35" ht="27" x14ac:dyDescent="0.85">
      <c r="A7" s="1"/>
      <c r="B7" s="297" t="s">
        <v>424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431</v>
      </c>
      <c r="Z7" s="4"/>
      <c r="AA7" s="4"/>
      <c r="AB7" s="4"/>
      <c r="AC7" s="4"/>
      <c r="AD7" s="4"/>
      <c r="AE7" s="4"/>
      <c r="AF7" s="4"/>
      <c r="AG7" s="4"/>
    </row>
    <row r="8" spans="1:35" s="75" customFormat="1" ht="30.3" customHeight="1" thickBot="1" x14ac:dyDescent="0.6">
      <c r="B8" s="362" t="s">
        <v>460</v>
      </c>
      <c r="C8" s="361"/>
      <c r="D8" s="361"/>
      <c r="E8" s="361"/>
      <c r="F8" s="361"/>
      <c r="G8" s="361"/>
      <c r="H8" s="361"/>
      <c r="I8" s="363" t="s">
        <v>324</v>
      </c>
    </row>
    <row r="9" spans="1:35" ht="20.100000000000001" customHeight="1" thickBot="1" x14ac:dyDescent="0.6">
      <c r="A9" s="6" t="s">
        <v>0</v>
      </c>
      <c r="B9" s="359">
        <v>1</v>
      </c>
      <c r="C9" s="360">
        <v>2</v>
      </c>
      <c r="D9" s="360">
        <v>3</v>
      </c>
      <c r="E9" s="360">
        <v>4</v>
      </c>
      <c r="F9" s="360">
        <v>5</v>
      </c>
      <c r="G9" s="360">
        <v>6</v>
      </c>
      <c r="H9" s="360">
        <v>7</v>
      </c>
      <c r="I9" s="360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5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53">
        <f>AE25</f>
        <v>9248</v>
      </c>
      <c r="AA10" s="454"/>
      <c r="AB10" s="454"/>
      <c r="AC10" s="454"/>
      <c r="AD10" s="455"/>
      <c r="AE10" s="456" t="s">
        <v>11</v>
      </c>
      <c r="AF10" s="457"/>
      <c r="AG10" s="22" t="s">
        <v>10</v>
      </c>
    </row>
    <row r="11" spans="1:35" ht="20.100000000000001" customHeight="1" thickBot="1" x14ac:dyDescent="0.6">
      <c r="A11" s="63" t="s">
        <v>6</v>
      </c>
      <c r="B11" s="29">
        <v>1</v>
      </c>
      <c r="C11" s="30">
        <v>0</v>
      </c>
      <c r="D11" s="31">
        <v>0</v>
      </c>
      <c r="E11" s="29">
        <v>0</v>
      </c>
      <c r="F11" s="30">
        <v>0</v>
      </c>
      <c r="G11" s="31">
        <v>0</v>
      </c>
      <c r="H11" s="29">
        <v>1</v>
      </c>
      <c r="I11" s="32">
        <v>1</v>
      </c>
      <c r="J11" s="29">
        <v>0</v>
      </c>
      <c r="K11" s="32">
        <v>0</v>
      </c>
      <c r="L11" s="28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1</v>
      </c>
      <c r="S11" s="46">
        <v>0</v>
      </c>
      <c r="T11" s="46">
        <v>0</v>
      </c>
      <c r="U11" s="46">
        <v>0</v>
      </c>
      <c r="V11" s="46">
        <v>0</v>
      </c>
      <c r="W11" s="46">
        <v>1</v>
      </c>
      <c r="X11" s="46">
        <v>0</v>
      </c>
      <c r="Y11" s="46">
        <v>0</v>
      </c>
      <c r="Z11" s="46">
        <v>1</v>
      </c>
      <c r="AA11" s="46">
        <v>0</v>
      </c>
      <c r="AB11" s="46">
        <v>0</v>
      </c>
      <c r="AC11" s="46">
        <v>0</v>
      </c>
      <c r="AD11" s="47">
        <v>0</v>
      </c>
      <c r="AE11" s="288">
        <v>1</v>
      </c>
      <c r="AF11" s="289">
        <v>1</v>
      </c>
      <c r="AG11" s="25">
        <f>IF(SUM(B11:AF11)=0,0,IF(ISEVEN(COUNTIFS(B11:AF11,"=1")),1,0))</f>
        <v>1</v>
      </c>
    </row>
    <row r="12" spans="1:35" ht="20.100000000000001" customHeight="1" thickBot="1" x14ac:dyDescent="0.6">
      <c r="A12" s="63" t="s">
        <v>19</v>
      </c>
      <c r="B12" s="441">
        <f>SUM(B25:C25)</f>
        <v>2</v>
      </c>
      <c r="C12" s="443"/>
      <c r="D12" s="441">
        <f>SUM(D25:F25)</f>
        <v>0</v>
      </c>
      <c r="E12" s="442"/>
      <c r="F12" s="443"/>
      <c r="G12" s="441">
        <f>SUM(G25:I25)</f>
        <v>3</v>
      </c>
      <c r="H12" s="442"/>
      <c r="I12" s="443"/>
      <c r="J12" s="15"/>
      <c r="K12" s="15"/>
      <c r="L12" s="450">
        <f t="shared" ref="L12" si="0">M12/2</f>
        <v>0.5</v>
      </c>
      <c r="M12" s="450">
        <f t="shared" ref="M12" si="1">N12/2</f>
        <v>1</v>
      </c>
      <c r="N12" s="450">
        <f t="shared" ref="N12:AB12" si="2">O12/2</f>
        <v>2</v>
      </c>
      <c r="O12" s="450">
        <f t="shared" si="2"/>
        <v>4</v>
      </c>
      <c r="P12" s="450">
        <f t="shared" si="2"/>
        <v>8</v>
      </c>
      <c r="Q12" s="450">
        <f t="shared" si="2"/>
        <v>16</v>
      </c>
      <c r="R12" s="450">
        <f t="shared" si="2"/>
        <v>32</v>
      </c>
      <c r="S12" s="450">
        <f t="shared" si="2"/>
        <v>64</v>
      </c>
      <c r="T12" s="450">
        <f t="shared" si="2"/>
        <v>128</v>
      </c>
      <c r="U12" s="450">
        <f t="shared" si="2"/>
        <v>256</v>
      </c>
      <c r="V12" s="450">
        <f t="shared" si="2"/>
        <v>512</v>
      </c>
      <c r="W12" s="450">
        <f t="shared" si="2"/>
        <v>1024</v>
      </c>
      <c r="X12" s="450">
        <f t="shared" si="2"/>
        <v>2048</v>
      </c>
      <c r="Y12" s="450">
        <f t="shared" si="2"/>
        <v>4096</v>
      </c>
      <c r="Z12" s="450">
        <f t="shared" si="2"/>
        <v>8192</v>
      </c>
      <c r="AA12" s="450">
        <f t="shared" si="2"/>
        <v>16384</v>
      </c>
      <c r="AB12" s="450">
        <f t="shared" si="2"/>
        <v>32768</v>
      </c>
      <c r="AC12" s="450">
        <f>-AD12/2</f>
        <v>65536</v>
      </c>
      <c r="AD12" s="458">
        <f>-AH13</f>
        <v>-131072</v>
      </c>
      <c r="AE12" s="444"/>
      <c r="AF12" s="63"/>
      <c r="AG12" s="63"/>
    </row>
    <row r="13" spans="1:35" ht="17.25" customHeight="1" x14ac:dyDescent="0.7">
      <c r="A13" s="63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59"/>
      <c r="AE13" s="445"/>
      <c r="AG13" s="63" t="s">
        <v>427</v>
      </c>
      <c r="AH13" s="338">
        <v>131072</v>
      </c>
      <c r="AI13" t="s">
        <v>428</v>
      </c>
    </row>
    <row r="14" spans="1:35" ht="45" customHeight="1" thickBot="1" x14ac:dyDescent="0.6">
      <c r="A14" s="63"/>
      <c r="B14" s="63"/>
      <c r="C14" s="63"/>
      <c r="D14" s="63"/>
      <c r="E14" s="63"/>
      <c r="F14" s="63"/>
      <c r="G14" s="63"/>
      <c r="H14" s="63"/>
      <c r="I14" s="63"/>
      <c r="J14" s="15"/>
      <c r="K14" s="15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60"/>
      <c r="AE14" s="446"/>
      <c r="AF14" s="63"/>
      <c r="AG14" s="63"/>
    </row>
    <row r="15" spans="1:35" ht="20.100000000000001" customHeight="1" thickBot="1" x14ac:dyDescent="0.6">
      <c r="A15" s="461" t="s">
        <v>7</v>
      </c>
      <c r="B15" s="461"/>
      <c r="C15" s="46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5" ht="20.100000000000001" customHeight="1" thickBot="1" x14ac:dyDescent="0.6">
      <c r="A16" s="6" t="s">
        <v>0</v>
      </c>
      <c r="B16" s="7">
        <f t="shared" ref="B16:I16" si="3">B9</f>
        <v>1</v>
      </c>
      <c r="C16" s="7">
        <f t="shared" si="3"/>
        <v>2</v>
      </c>
      <c r="D16" s="7">
        <f t="shared" si="3"/>
        <v>3</v>
      </c>
      <c r="E16" s="7">
        <f t="shared" si="3"/>
        <v>4</v>
      </c>
      <c r="F16" s="7">
        <f t="shared" si="3"/>
        <v>5</v>
      </c>
      <c r="G16" s="7">
        <f t="shared" si="3"/>
        <v>6</v>
      </c>
      <c r="H16" s="7">
        <f t="shared" si="3"/>
        <v>7</v>
      </c>
      <c r="I16" s="7">
        <f t="shared" si="3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47" t="s">
        <v>45</v>
      </c>
      <c r="C17" s="448"/>
      <c r="D17" s="448"/>
      <c r="E17" s="448"/>
      <c r="F17" s="448"/>
      <c r="G17" s="448"/>
      <c r="H17" s="448"/>
      <c r="I17" s="449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9"/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3" t="s">
        <v>6</v>
      </c>
      <c r="B18" s="11">
        <f>B11</f>
        <v>1</v>
      </c>
      <c r="C18" s="11">
        <f t="shared" ref="C18:I18" si="4">C11</f>
        <v>0</v>
      </c>
      <c r="D18" s="11">
        <f t="shared" si="4"/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11">
        <f t="shared" si="4"/>
        <v>1</v>
      </c>
      <c r="I18" s="11">
        <f t="shared" si="4"/>
        <v>1</v>
      </c>
      <c r="J18" s="11">
        <f>IF(J11=0,0, IF(J11=1,1,""))</f>
        <v>0</v>
      </c>
      <c r="K18" s="27">
        <f>IF(K11=0,0, IF(K11=1,1,""))</f>
        <v>0</v>
      </c>
      <c r="L18" s="54">
        <f xml:space="preserve"> L11</f>
        <v>0</v>
      </c>
      <c r="M18" s="55">
        <f t="shared" ref="M18:AD18" si="5" xml:space="preserve"> M11</f>
        <v>0</v>
      </c>
      <c r="N18" s="55">
        <f t="shared" si="5"/>
        <v>0</v>
      </c>
      <c r="O18" s="55">
        <f t="shared" si="5"/>
        <v>0</v>
      </c>
      <c r="P18" s="55">
        <f t="shared" si="5"/>
        <v>0</v>
      </c>
      <c r="Q18" s="55">
        <f t="shared" si="5"/>
        <v>0</v>
      </c>
      <c r="R18" s="55">
        <f t="shared" si="5"/>
        <v>1</v>
      </c>
      <c r="S18" s="55">
        <f t="shared" si="5"/>
        <v>0</v>
      </c>
      <c r="T18" s="55">
        <f t="shared" si="5"/>
        <v>0</v>
      </c>
      <c r="U18" s="55">
        <f t="shared" si="5"/>
        <v>0</v>
      </c>
      <c r="V18" s="55">
        <f t="shared" si="5"/>
        <v>0</v>
      </c>
      <c r="W18" s="55">
        <f t="shared" si="5"/>
        <v>1</v>
      </c>
      <c r="X18" s="55">
        <f t="shared" si="5"/>
        <v>0</v>
      </c>
      <c r="Y18" s="55">
        <f t="shared" si="5"/>
        <v>0</v>
      </c>
      <c r="Z18" s="55">
        <f t="shared" si="5"/>
        <v>1</v>
      </c>
      <c r="AA18" s="55">
        <f t="shared" si="5"/>
        <v>0</v>
      </c>
      <c r="AB18" s="55">
        <f t="shared" si="5"/>
        <v>0</v>
      </c>
      <c r="AC18" s="55">
        <f t="shared" si="5"/>
        <v>0</v>
      </c>
      <c r="AD18" s="56">
        <f t="shared" si="5"/>
        <v>0</v>
      </c>
      <c r="AE18" s="13">
        <f>AE11</f>
        <v>1</v>
      </c>
      <c r="AF18" s="13">
        <f>AF11</f>
        <v>1</v>
      </c>
      <c r="AG18" s="26">
        <f>AG11</f>
        <v>1</v>
      </c>
    </row>
    <row r="19" spans="1:33" ht="20.100000000000001" customHeight="1" thickBot="1" x14ac:dyDescent="0.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33" ht="20.100000000000001" customHeight="1" thickBot="1" x14ac:dyDescent="0.6">
      <c r="A20" s="2" t="s">
        <v>41</v>
      </c>
      <c r="B20" s="441" t="str">
        <f>DEC2HEX(B18*1+C18*2+D18*4+E18*8)</f>
        <v>1</v>
      </c>
      <c r="C20" s="442"/>
      <c r="D20" s="442"/>
      <c r="E20" s="443"/>
      <c r="F20" s="441" t="str">
        <f>DEC2HEX(F18*1+G18*2+H18*4+I18*8)</f>
        <v>C</v>
      </c>
      <c r="G20" s="442"/>
      <c r="H20" s="442"/>
      <c r="I20" s="443"/>
      <c r="J20" s="441" t="str">
        <f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1</v>
      </c>
      <c r="S20" s="442"/>
      <c r="T20" s="442"/>
      <c r="U20" s="443"/>
      <c r="V20" s="441" t="str">
        <f t="shared" ref="V20" si="8">DEC2HEX(V18*1+W18*2+X18*4+Y18*8)</f>
        <v>2</v>
      </c>
      <c r="W20" s="442"/>
      <c r="X20" s="442"/>
      <c r="Y20" s="443"/>
      <c r="Z20" s="441" t="str">
        <f t="shared" ref="Z20" si="9">DEC2HEX(Z18*1+AA18*2+AB18*4+AC18*8)</f>
        <v>1</v>
      </c>
      <c r="AA20" s="442"/>
      <c r="AB20" s="442"/>
      <c r="AC20" s="443"/>
      <c r="AD20" s="441" t="str">
        <f>DEC2HEX(AD18*1+AE18*2+AF18*4+AG18*8)</f>
        <v>E</v>
      </c>
      <c r="AE20" s="442"/>
      <c r="AF20" s="442"/>
      <c r="AG20" s="443"/>
    </row>
    <row r="21" spans="1:33" ht="15" x14ac:dyDescent="0.5500000000000000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thickBot="1" x14ac:dyDescent="0.6">
      <c r="A24"/>
      <c r="J24" s="2" t="str">
        <f t="shared" ref="J24:K24" si="10">IF(ISBLANK(J12),"",J16)</f>
        <v/>
      </c>
      <c r="K24" s="2" t="str">
        <f t="shared" si="10"/>
        <v/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3" ht="80.5" customHeight="1" thickBot="1" x14ac:dyDescent="0.6">
      <c r="A25"/>
      <c r="B25" s="2">
        <f>IF(B11=0,0, IF(B11=1,2,""))</f>
        <v>2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0</v>
      </c>
      <c r="F25" s="2">
        <f>IF(F11=0,0, IF(F11=1,1,""))</f>
        <v>0</v>
      </c>
      <c r="G25" s="2">
        <f>IF(G11=0,0, IF(G11=1,4,""))</f>
        <v>0</v>
      </c>
      <c r="H25" s="2">
        <f>IF(H11=0,0, IF(H11=1,2,""))</f>
        <v>2</v>
      </c>
      <c r="I25" s="2">
        <f>IF(I11=0,0, IF(I11=1,1,""))</f>
        <v>1</v>
      </c>
      <c r="J25" s="16" t="str">
        <f t="shared" ref="J25:AD25" si="11">IF(ISBLANK(J12),"",IF(J11=1,J12,0))</f>
        <v/>
      </c>
      <c r="K25" s="16" t="str">
        <f t="shared" si="11"/>
        <v/>
      </c>
      <c r="L25" s="17">
        <f t="shared" si="11"/>
        <v>0</v>
      </c>
      <c r="M25" s="17">
        <f t="shared" si="11"/>
        <v>0</v>
      </c>
      <c r="N25" s="17">
        <f t="shared" si="11"/>
        <v>0</v>
      </c>
      <c r="O25" s="17">
        <f t="shared" si="11"/>
        <v>0</v>
      </c>
      <c r="P25" s="17">
        <f t="shared" si="11"/>
        <v>0</v>
      </c>
      <c r="Q25" s="17">
        <f t="shared" si="11"/>
        <v>0</v>
      </c>
      <c r="R25" s="17">
        <f t="shared" si="11"/>
        <v>32</v>
      </c>
      <c r="S25" s="17">
        <f t="shared" si="11"/>
        <v>0</v>
      </c>
      <c r="T25" s="17">
        <f t="shared" si="11"/>
        <v>0</v>
      </c>
      <c r="U25" s="17">
        <f t="shared" si="11"/>
        <v>0</v>
      </c>
      <c r="V25" s="17">
        <f t="shared" si="11"/>
        <v>0</v>
      </c>
      <c r="W25" s="17">
        <f t="shared" si="11"/>
        <v>1024</v>
      </c>
      <c r="X25" s="17">
        <f t="shared" si="11"/>
        <v>0</v>
      </c>
      <c r="Y25" s="17">
        <f t="shared" si="11"/>
        <v>0</v>
      </c>
      <c r="Z25" s="17">
        <f t="shared" si="11"/>
        <v>8192</v>
      </c>
      <c r="AA25" s="17">
        <f t="shared" si="11"/>
        <v>0</v>
      </c>
      <c r="AB25" s="17">
        <f t="shared" si="11"/>
        <v>0</v>
      </c>
      <c r="AC25" s="17">
        <f t="shared" si="11"/>
        <v>0</v>
      </c>
      <c r="AD25" s="17">
        <f t="shared" si="11"/>
        <v>0</v>
      </c>
      <c r="AE25" s="287">
        <f>SUM(L25:AD25)</f>
        <v>9248</v>
      </c>
      <c r="AG25" s="53"/>
    </row>
    <row r="26" spans="1:33" s="19" customFormat="1" ht="63.75" customHeight="1" x14ac:dyDescent="0.55000000000000004">
      <c r="D26" s="18"/>
      <c r="F26" s="18"/>
      <c r="G26" s="18"/>
      <c r="H26" s="18"/>
      <c r="J26" s="20" t="str">
        <f t="shared" ref="J26" si="12">IF(ISBLANK(J12),"",IF(J11=1,2^(J16-$AE$24),0))</f>
        <v/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G26" s="18"/>
    </row>
    <row r="27" spans="1:33" ht="41.25" customHeight="1" x14ac:dyDescent="0.55000000000000004">
      <c r="A27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.75" customHeight="1" x14ac:dyDescent="0.55000000000000004">
      <c r="A28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0"/>
      <c r="AG28" s="10"/>
    </row>
    <row r="29" spans="1:33" ht="15" customHeight="1" x14ac:dyDescent="0.55000000000000004">
      <c r="A29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10"/>
      <c r="AG29" s="10"/>
    </row>
    <row r="30" spans="1:33" ht="15.75" customHeight="1" x14ac:dyDescent="0.55000000000000004">
      <c r="A30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0"/>
      <c r="AG30" s="1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3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3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3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3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3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3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3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3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3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3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3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3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3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3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3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3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3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3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3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3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3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3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3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3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3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3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3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3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3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3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3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3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3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3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3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3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3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3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3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3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3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3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3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3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3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3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3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3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3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3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3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3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3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3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3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3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3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3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3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3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3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3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3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3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3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3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3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3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3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3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3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3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3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3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3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3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3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3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3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3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3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3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3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3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3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3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3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3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3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3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3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3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3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3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3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3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3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3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3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3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3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3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3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3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3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3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3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3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3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3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3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3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3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3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3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3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3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3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3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3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3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3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3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3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3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3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3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3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3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3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3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3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3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3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3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3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3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3"/>
      <c r="B329" s="1"/>
      <c r="C329" s="1"/>
      <c r="D329" s="1"/>
      <c r="E329" s="1"/>
      <c r="F329" s="1"/>
      <c r="G329" s="1"/>
      <c r="H329" s="1"/>
    </row>
  </sheetData>
  <mergeCells count="41">
    <mergeCell ref="D12:F12"/>
    <mergeCell ref="G12:I12"/>
    <mergeCell ref="L12:L14"/>
    <mergeCell ref="M12:M14"/>
    <mergeCell ref="B10:I10"/>
    <mergeCell ref="J10:K10"/>
    <mergeCell ref="L10:Y10"/>
    <mergeCell ref="S12:S14"/>
    <mergeCell ref="B12:C12"/>
    <mergeCell ref="Z10:AD10"/>
    <mergeCell ref="AE10:AF10"/>
    <mergeCell ref="AC12:AC14"/>
    <mergeCell ref="AD12:AD14"/>
    <mergeCell ref="A15:C15"/>
    <mergeCell ref="T12:T14"/>
    <mergeCell ref="U12:U14"/>
    <mergeCell ref="V12:V14"/>
    <mergeCell ref="W12:W14"/>
    <mergeCell ref="X12:X14"/>
    <mergeCell ref="Y12:Y14"/>
    <mergeCell ref="N12:N14"/>
    <mergeCell ref="O12:O14"/>
    <mergeCell ref="P12:P14"/>
    <mergeCell ref="Q12:Q14"/>
    <mergeCell ref="R12:R14"/>
    <mergeCell ref="B20:E20"/>
    <mergeCell ref="F20:I20"/>
    <mergeCell ref="AD20:AG20"/>
    <mergeCell ref="AE12:AE14"/>
    <mergeCell ref="B17:I17"/>
    <mergeCell ref="J17:K17"/>
    <mergeCell ref="L17:AD17"/>
    <mergeCell ref="AE17:AF17"/>
    <mergeCell ref="J20:M20"/>
    <mergeCell ref="N20:Q20"/>
    <mergeCell ref="R20:U20"/>
    <mergeCell ref="V20:Y20"/>
    <mergeCell ref="Z20:AC20"/>
    <mergeCell ref="Z12:Z14"/>
    <mergeCell ref="AA12:AA14"/>
    <mergeCell ref="AB12:AB14"/>
  </mergeCells>
  <conditionalFormatting sqref="B11:AF11">
    <cfRule type="cellIs" dxfId="49" priority="1" operator="lessThan">
      <formula>0</formula>
    </cfRule>
    <cfRule type="cellIs" dxfId="48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G329"/>
  <sheetViews>
    <sheetView workbookViewId="0">
      <selection activeCell="B2" sqref="B2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166</v>
      </c>
      <c r="B1" s="5"/>
      <c r="C1" s="5"/>
    </row>
    <row r="2" spans="1:33" ht="15.75" customHeight="1" x14ac:dyDescent="0.55000000000000004">
      <c r="A2"/>
      <c r="B2" s="339" t="s">
        <v>33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298">
        <v>0</v>
      </c>
      <c r="Z2" s="298">
        <v>0</v>
      </c>
      <c r="AA2" s="4" t="s">
        <v>37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433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2">
        <v>0</v>
      </c>
      <c r="Z3" s="62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434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2">
        <v>1</v>
      </c>
      <c r="Z4" s="62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3" x14ac:dyDescent="0.55000000000000004">
      <c r="A5" s="1"/>
      <c r="B5" s="3" t="s">
        <v>435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2">
        <v>1</v>
      </c>
      <c r="Z5" s="62">
        <v>1</v>
      </c>
      <c r="AA5" s="4" t="s">
        <v>38</v>
      </c>
      <c r="AB5" s="4"/>
      <c r="AC5" s="4"/>
      <c r="AD5" s="4"/>
      <c r="AE5" s="4"/>
      <c r="AF5" s="4"/>
      <c r="AG5" s="4"/>
    </row>
    <row r="6" spans="1:33" ht="15.3" x14ac:dyDescent="0.55000000000000004">
      <c r="A6" s="1"/>
      <c r="B6" s="3" t="s">
        <v>36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8"/>
      <c r="X6" s="34"/>
      <c r="Y6" s="35"/>
      <c r="Z6" s="34"/>
      <c r="AA6" s="34"/>
      <c r="AB6" s="35"/>
      <c r="AC6" s="34"/>
      <c r="AD6" s="34"/>
      <c r="AE6" s="4"/>
      <c r="AF6" s="4"/>
      <c r="AG6" s="4"/>
    </row>
    <row r="7" spans="1:33" ht="22.2" x14ac:dyDescent="0.7">
      <c r="A7" s="1"/>
      <c r="B7" s="296" t="s">
        <v>432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63" t="s">
        <v>44</v>
      </c>
      <c r="C10" s="464"/>
      <c r="D10" s="464"/>
      <c r="E10" s="464"/>
      <c r="F10" s="464"/>
      <c r="G10" s="464"/>
      <c r="H10" s="464"/>
      <c r="I10" s="465"/>
      <c r="J10" s="466" t="s">
        <v>1</v>
      </c>
      <c r="K10" s="467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77">
        <f>AE25</f>
        <v>144.4</v>
      </c>
      <c r="AA10" s="478"/>
      <c r="AB10" s="478"/>
      <c r="AC10" s="478"/>
      <c r="AD10" s="479"/>
      <c r="AE10" s="466" t="s">
        <v>11</v>
      </c>
      <c r="AF10" s="467"/>
      <c r="AG10" s="306" t="s">
        <v>10</v>
      </c>
    </row>
    <row r="11" spans="1:33" ht="20.100000000000001" customHeight="1" thickBot="1" x14ac:dyDescent="0.6">
      <c r="A11" s="63" t="s">
        <v>6</v>
      </c>
      <c r="B11" s="29">
        <v>1</v>
      </c>
      <c r="C11" s="30">
        <v>0</v>
      </c>
      <c r="D11" s="31">
        <v>0</v>
      </c>
      <c r="E11" s="29">
        <v>0</v>
      </c>
      <c r="F11" s="30">
        <v>0</v>
      </c>
      <c r="G11" s="31">
        <v>0</v>
      </c>
      <c r="H11" s="29">
        <v>0</v>
      </c>
      <c r="I11" s="32">
        <v>1</v>
      </c>
      <c r="J11" s="299">
        <v>0</v>
      </c>
      <c r="K11" s="300">
        <v>0</v>
      </c>
      <c r="L11" s="60">
        <v>0</v>
      </c>
      <c r="M11" s="61">
        <v>0</v>
      </c>
      <c r="N11" s="61">
        <v>0</v>
      </c>
      <c r="O11" s="61">
        <v>0</v>
      </c>
      <c r="P11" s="30">
        <v>0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  <c r="Y11" s="30">
        <v>0</v>
      </c>
      <c r="Z11" s="30">
        <v>1</v>
      </c>
      <c r="AA11" s="30">
        <v>0</v>
      </c>
      <c r="AB11" s="30">
        <v>1</v>
      </c>
      <c r="AC11" s="30">
        <v>0</v>
      </c>
      <c r="AD11" s="31">
        <v>0</v>
      </c>
      <c r="AE11" s="303">
        <v>0</v>
      </c>
      <c r="AF11" s="304">
        <v>0</v>
      </c>
      <c r="AG11" s="307">
        <f>IF(SUM(B11:AF11)=0,0,IF(ISEVEN(COUNTIFS(B11:AF11,"=1")),1,0))</f>
        <v>1</v>
      </c>
    </row>
    <row r="12" spans="1:33" ht="20.100000000000001" customHeight="1" thickBot="1" x14ac:dyDescent="0.6">
      <c r="A12" s="63" t="s">
        <v>19</v>
      </c>
      <c r="B12" s="441">
        <f>SUM(B25:C25)</f>
        <v>2</v>
      </c>
      <c r="C12" s="443"/>
      <c r="D12" s="441">
        <f>SUM(D25:F25)</f>
        <v>0</v>
      </c>
      <c r="E12" s="442"/>
      <c r="F12" s="443"/>
      <c r="G12" s="441">
        <f>SUM(G25:I25)</f>
        <v>1</v>
      </c>
      <c r="H12" s="442"/>
      <c r="I12" s="443"/>
      <c r="J12" s="15"/>
      <c r="K12" s="15"/>
      <c r="L12" s="468" t="str">
        <f>IF(M24&gt;0,"Erreur","")</f>
        <v/>
      </c>
      <c r="M12" s="469"/>
      <c r="N12" s="469"/>
      <c r="O12" s="470"/>
      <c r="P12" s="480">
        <f>SUM(P24:S24)</f>
        <v>4</v>
      </c>
      <c r="Q12" s="481"/>
      <c r="R12" s="481"/>
      <c r="S12" s="482"/>
      <c r="T12" s="480">
        <f>SUM(T24:W24)</f>
        <v>4</v>
      </c>
      <c r="U12" s="481"/>
      <c r="V12" s="481"/>
      <c r="W12" s="482"/>
      <c r="X12" s="480">
        <f>SUM(X24:AA24)</f>
        <v>4</v>
      </c>
      <c r="Y12" s="481"/>
      <c r="Z12" s="481"/>
      <c r="AA12" s="482"/>
      <c r="AB12" s="480">
        <f>SUM(AB24:AD24)</f>
        <v>1</v>
      </c>
      <c r="AC12" s="481"/>
      <c r="AD12" s="482"/>
      <c r="AE12" s="63"/>
      <c r="AF12" s="63"/>
      <c r="AG12" s="63"/>
    </row>
    <row r="13" spans="1:33" ht="17.25" customHeight="1" thickBot="1" x14ac:dyDescent="0.6">
      <c r="A13" s="63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468">
        <v>0</v>
      </c>
      <c r="M13" s="469"/>
      <c r="N13" s="469"/>
      <c r="O13" s="470"/>
      <c r="P13" s="471">
        <f t="shared" ref="P13" si="0">T13/10</f>
        <v>0.1</v>
      </c>
      <c r="Q13" s="472"/>
      <c r="R13" s="472"/>
      <c r="S13" s="473"/>
      <c r="T13" s="474">
        <f t="shared" ref="T13" si="1">X13/10</f>
        <v>1</v>
      </c>
      <c r="U13" s="475"/>
      <c r="V13" s="475"/>
      <c r="W13" s="476"/>
      <c r="X13" s="474">
        <f>AB13/10</f>
        <v>10</v>
      </c>
      <c r="Y13" s="475"/>
      <c r="Z13" s="475"/>
      <c r="AA13" s="476"/>
      <c r="AB13" s="474">
        <v>100</v>
      </c>
      <c r="AC13" s="475"/>
      <c r="AD13" s="476"/>
      <c r="AE13" s="63"/>
      <c r="AF13" s="63"/>
      <c r="AG13" s="63"/>
    </row>
    <row r="14" spans="1:33" ht="21.75" customHeight="1" x14ac:dyDescent="0.55000000000000004">
      <c r="A14" s="63"/>
      <c r="B14" s="63"/>
      <c r="C14" s="63"/>
      <c r="D14" s="63"/>
      <c r="E14" s="63"/>
      <c r="F14" s="63"/>
      <c r="G14" s="63"/>
      <c r="H14" s="63"/>
      <c r="I14" s="63"/>
      <c r="J14" s="15"/>
      <c r="K14" s="15"/>
      <c r="L14" s="40"/>
      <c r="M14" s="40"/>
      <c r="N14" s="40"/>
      <c r="O14" s="40"/>
      <c r="P14" s="41"/>
      <c r="Q14" s="41"/>
      <c r="R14" s="41"/>
      <c r="S14" s="41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  <c r="AE14" s="36"/>
      <c r="AF14" s="63"/>
      <c r="AG14" s="63"/>
    </row>
    <row r="15" spans="1:33" ht="20.100000000000001" customHeight="1" thickBot="1" x14ac:dyDescent="0.6">
      <c r="A15" s="461" t="s">
        <v>7</v>
      </c>
      <c r="B15" s="461"/>
      <c r="C15" s="461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</row>
    <row r="16" spans="1:33" ht="20.100000000000001" customHeight="1" thickBot="1" x14ac:dyDescent="0.6">
      <c r="A16" s="6" t="s">
        <v>0</v>
      </c>
      <c r="B16" s="7">
        <f t="shared" ref="B16:I16" si="2">B9</f>
        <v>1</v>
      </c>
      <c r="C16" s="7">
        <f t="shared" si="2"/>
        <v>2</v>
      </c>
      <c r="D16" s="7">
        <f t="shared" si="2"/>
        <v>3</v>
      </c>
      <c r="E16" s="7">
        <f t="shared" si="2"/>
        <v>4</v>
      </c>
      <c r="F16" s="7">
        <f t="shared" si="2"/>
        <v>5</v>
      </c>
      <c r="G16" s="7">
        <f t="shared" si="2"/>
        <v>6</v>
      </c>
      <c r="H16" s="7">
        <f t="shared" si="2"/>
        <v>7</v>
      </c>
      <c r="I16" s="7">
        <f t="shared" si="2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66" t="s">
        <v>1</v>
      </c>
      <c r="K17" s="467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9"/>
      <c r="AE17" s="466" t="s">
        <v>11</v>
      </c>
      <c r="AF17" s="467"/>
      <c r="AG17" s="306" t="s">
        <v>10</v>
      </c>
    </row>
    <row r="18" spans="1:33" ht="20.100000000000001" customHeight="1" thickBot="1" x14ac:dyDescent="0.6">
      <c r="A18" s="63" t="s">
        <v>6</v>
      </c>
      <c r="B18" s="11">
        <f>B11</f>
        <v>1</v>
      </c>
      <c r="C18" s="11">
        <f t="shared" ref="C18:I18" si="3">C11</f>
        <v>0</v>
      </c>
      <c r="D18" s="11">
        <f t="shared" si="3"/>
        <v>0</v>
      </c>
      <c r="E18" s="11">
        <f t="shared" si="3"/>
        <v>0</v>
      </c>
      <c r="F18" s="11">
        <f t="shared" si="3"/>
        <v>0</v>
      </c>
      <c r="G18" s="11">
        <f t="shared" si="3"/>
        <v>0</v>
      </c>
      <c r="H18" s="11">
        <f t="shared" si="3"/>
        <v>0</v>
      </c>
      <c r="I18" s="11">
        <f t="shared" si="3"/>
        <v>1</v>
      </c>
      <c r="J18" s="301">
        <f>IF(J11=0,0, IF(J11=1,1,""))</f>
        <v>0</v>
      </c>
      <c r="K18" s="302">
        <f>IF(K11=0,0, IF(K11=1,1,""))</f>
        <v>0</v>
      </c>
      <c r="L18" s="49">
        <f t="shared" ref="L18:AD18" si="4">IF(L11=0,0, IF(L11=1,1,""))</f>
        <v>0</v>
      </c>
      <c r="M18" s="27">
        <f t="shared" si="4"/>
        <v>0</v>
      </c>
      <c r="N18" s="27">
        <f t="shared" si="4"/>
        <v>0</v>
      </c>
      <c r="O18" s="27">
        <f t="shared" si="4"/>
        <v>0</v>
      </c>
      <c r="P18" s="27">
        <f t="shared" si="4"/>
        <v>0</v>
      </c>
      <c r="Q18" s="27">
        <f t="shared" si="4"/>
        <v>0</v>
      </c>
      <c r="R18" s="27">
        <f t="shared" si="4"/>
        <v>1</v>
      </c>
      <c r="S18" s="27">
        <f t="shared" si="4"/>
        <v>0</v>
      </c>
      <c r="T18" s="27">
        <f t="shared" si="4"/>
        <v>0</v>
      </c>
      <c r="U18" s="27">
        <f t="shared" si="4"/>
        <v>0</v>
      </c>
      <c r="V18" s="27">
        <f t="shared" si="4"/>
        <v>1</v>
      </c>
      <c r="W18" s="27">
        <f t="shared" si="4"/>
        <v>0</v>
      </c>
      <c r="X18" s="27">
        <f t="shared" si="4"/>
        <v>0</v>
      </c>
      <c r="Y18" s="27">
        <f t="shared" si="4"/>
        <v>0</v>
      </c>
      <c r="Z18" s="27">
        <f t="shared" si="4"/>
        <v>1</v>
      </c>
      <c r="AA18" s="27">
        <f t="shared" si="4"/>
        <v>0</v>
      </c>
      <c r="AB18" s="27">
        <f t="shared" si="4"/>
        <v>1</v>
      </c>
      <c r="AC18" s="27">
        <f t="shared" si="4"/>
        <v>0</v>
      </c>
      <c r="AD18" s="13">
        <f t="shared" si="4"/>
        <v>0</v>
      </c>
      <c r="AE18" s="305">
        <f>AE11</f>
        <v>0</v>
      </c>
      <c r="AF18" s="302">
        <f>AF11</f>
        <v>0</v>
      </c>
      <c r="AG18" s="307">
        <f>AG11</f>
        <v>1</v>
      </c>
    </row>
    <row r="19" spans="1:33" ht="20.100000000000001" customHeight="1" thickBot="1" x14ac:dyDescent="0.6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</row>
    <row r="20" spans="1:33" ht="20.100000000000001" customHeight="1" thickBot="1" x14ac:dyDescent="0.6">
      <c r="A20" s="2" t="s">
        <v>41</v>
      </c>
      <c r="B20" s="441" t="str">
        <f>DEC2HEX(B18*1+C18*2+D18*4+E18*8)</f>
        <v>1</v>
      </c>
      <c r="C20" s="442"/>
      <c r="D20" s="442"/>
      <c r="E20" s="443"/>
      <c r="F20" s="441" t="str">
        <f>DEC2HEX(F18*1+G18*2+H18*4+I18*8)</f>
        <v>8</v>
      </c>
      <c r="G20" s="442"/>
      <c r="H20" s="442"/>
      <c r="I20" s="443"/>
      <c r="J20" s="441" t="str">
        <f>DEC2HEX(J18*1+K18*2+L18*4+M18*8)</f>
        <v>0</v>
      </c>
      <c r="K20" s="442"/>
      <c r="L20" s="442"/>
      <c r="M20" s="443"/>
      <c r="N20" s="441" t="str">
        <f t="shared" ref="N20" si="5">DEC2HEX(N18*1+O18*2+P18*4+Q18*8)</f>
        <v>0</v>
      </c>
      <c r="O20" s="442"/>
      <c r="P20" s="442"/>
      <c r="Q20" s="443"/>
      <c r="R20" s="441" t="str">
        <f t="shared" ref="R20" si="6">DEC2HEX(R18*1+S18*2+T18*4+U18*8)</f>
        <v>1</v>
      </c>
      <c r="S20" s="442"/>
      <c r="T20" s="442"/>
      <c r="U20" s="443"/>
      <c r="V20" s="441" t="str">
        <f t="shared" ref="V20" si="7">DEC2HEX(V18*1+W18*2+X18*4+Y18*8)</f>
        <v>1</v>
      </c>
      <c r="W20" s="442"/>
      <c r="X20" s="442"/>
      <c r="Y20" s="443"/>
      <c r="Z20" s="441" t="str">
        <f t="shared" ref="Z20" si="8">DEC2HEX(Z18*1+AA18*2+AB18*4+AC18*8)</f>
        <v>5</v>
      </c>
      <c r="AA20" s="442"/>
      <c r="AB20" s="442"/>
      <c r="AC20" s="443"/>
      <c r="AD20" s="441" t="str">
        <f t="shared" ref="AD20" si="9">DEC2HEX(AD18*1+AE18*2+AF18*4+AG18*8)</f>
        <v>8</v>
      </c>
      <c r="AE20" s="442"/>
      <c r="AF20" s="442"/>
      <c r="AG20" s="443"/>
    </row>
    <row r="21" spans="1:33" ht="15" x14ac:dyDescent="0.5500000000000000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/>
      <c r="M24" s="2"/>
      <c r="N24" s="2" t="str">
        <f t="shared" ref="N24" si="10">IF(ISBLANK(N12),"",N16)</f>
        <v/>
      </c>
      <c r="O24" s="2"/>
      <c r="P24" s="2">
        <f>IF(P11=0,0, IF(P11=1,1,""))</f>
        <v>0</v>
      </c>
      <c r="Q24" s="2">
        <f>IF(Q11=0,0, IF(Q11=1,2,""))</f>
        <v>0</v>
      </c>
      <c r="R24" s="2">
        <f>IF(R11=0,0, IF(R11=1,4,""))</f>
        <v>4</v>
      </c>
      <c r="S24" s="2">
        <f>IF(S11=0,0, IF(S11=1,8,""))</f>
        <v>0</v>
      </c>
      <c r="T24" s="2">
        <f>IF(T11=0,0, IF(T11=1,1,""))</f>
        <v>0</v>
      </c>
      <c r="U24" s="2">
        <f>IF(U11=0,0, IF(U11=1,2,""))</f>
        <v>0</v>
      </c>
      <c r="V24" s="2">
        <f>IF(V11=0,0, IF(V11=1,4,""))</f>
        <v>4</v>
      </c>
      <c r="W24" s="2">
        <f>IF(W11=0,0, IF(W11=1,8,""))</f>
        <v>0</v>
      </c>
      <c r="X24" s="2">
        <f>IF(X11=0,0, IF(X11=1,1,""))</f>
        <v>0</v>
      </c>
      <c r="Y24" s="2">
        <f>IF(Y11=0,0, IF(Y11=1,2,""))</f>
        <v>0</v>
      </c>
      <c r="Z24" s="2">
        <f>IF(Z11=0,0, IF(Z11=1,4,""))</f>
        <v>4</v>
      </c>
      <c r="AA24" s="2">
        <f>IF(AA11=0,0, IF(AA11=1,8,""))</f>
        <v>0</v>
      </c>
      <c r="AB24" s="2">
        <f>IF(AB11=0,0, IF(AB11=1,1,""))</f>
        <v>1</v>
      </c>
      <c r="AC24" s="2">
        <f>IF(AC11=0,0, IF(AC11=1,2,""))</f>
        <v>0</v>
      </c>
      <c r="AD24" s="2">
        <f>IF(AD11=0,0, IF(AD11=1,4,""))</f>
        <v>0</v>
      </c>
      <c r="AE24" s="2">
        <f>SUM(P24:AD24)</f>
        <v>13</v>
      </c>
    </row>
    <row r="25" spans="1:33" ht="55.5" customHeight="1" x14ac:dyDescent="0.55000000000000004">
      <c r="A25"/>
      <c r="B25" s="2">
        <f>IF(B11=0,0, IF(B11=1,2,""))</f>
        <v>2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0</v>
      </c>
      <c r="F25" s="2">
        <f>IF(F11=0,0, IF(F11=1,1,""))</f>
        <v>0</v>
      </c>
      <c r="G25" s="2">
        <f>IF(G11=0,0, IF(G11=1,4,""))</f>
        <v>0</v>
      </c>
      <c r="H25" s="2">
        <f>IF(H11=0,0, IF(H11=1,2,""))</f>
        <v>0</v>
      </c>
      <c r="I25" s="2">
        <f>IF(I11=0,0, IF(I11=1,1,""))</f>
        <v>1</v>
      </c>
      <c r="L25" s="16"/>
      <c r="M25" s="16" t="str">
        <f t="shared" ref="M25:O25" si="11">IF(ISBLANK(M12),"",IF(M11=1,M12,0))</f>
        <v/>
      </c>
      <c r="N25" s="16" t="str">
        <f t="shared" si="11"/>
        <v/>
      </c>
      <c r="O25" s="16" t="str">
        <f t="shared" si="11"/>
        <v/>
      </c>
      <c r="P25" s="58">
        <f>P12*P13</f>
        <v>0.4</v>
      </c>
      <c r="Q25" s="58"/>
      <c r="R25" s="58"/>
      <c r="S25" s="50"/>
      <c r="T25" s="50"/>
      <c r="U25" s="58">
        <f>T12*T13</f>
        <v>4</v>
      </c>
      <c r="V25" s="58"/>
      <c r="W25" s="50"/>
      <c r="X25" s="58">
        <f>X12*X13</f>
        <v>40</v>
      </c>
      <c r="Y25" s="58"/>
      <c r="Z25" s="58"/>
      <c r="AA25" s="50"/>
      <c r="AB25" s="58">
        <f>AB12*AB13</f>
        <v>100</v>
      </c>
      <c r="AC25" s="58"/>
      <c r="AD25" s="58">
        <f>SUM(P25:AC25)</f>
        <v>144.4</v>
      </c>
      <c r="AE25" s="57">
        <f>IF(AD25=0, 0,AD25)</f>
        <v>144.4</v>
      </c>
      <c r="AF25" s="57"/>
      <c r="AG25" s="50"/>
    </row>
    <row r="26" spans="1:33" s="19" customFormat="1" ht="169.5" customHeight="1" x14ac:dyDescent="0.55000000000000004">
      <c r="F26" s="18"/>
      <c r="G26" s="18"/>
      <c r="H26" s="18"/>
      <c r="I26" s="18"/>
      <c r="J26" s="18"/>
      <c r="K26" s="18"/>
      <c r="L26" s="20"/>
      <c r="M26" s="20"/>
      <c r="N26" s="20" t="str">
        <f>IF(ISBLANK(N12),"",IF(N11=1,2^(N16-$AE$24),0))</f>
        <v/>
      </c>
      <c r="O26" s="20" t="str">
        <f>IF(ISBLANK(O12),"",IF(O11=1,2^(O16-$AE$24),0))</f>
        <v/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3" ht="15" customHeight="1" x14ac:dyDescent="0.55000000000000004">
      <c r="A27"/>
    </row>
    <row r="28" spans="1:33" ht="15.75" customHeight="1" x14ac:dyDescent="0.55000000000000004">
      <c r="A28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3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3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3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3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3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3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3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3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3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3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3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3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3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3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3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3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3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3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3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3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3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3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3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3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3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3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3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3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3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3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3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3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3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3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3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3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3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3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3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3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3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3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3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3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3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3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3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3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3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3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3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3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3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3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3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3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3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3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3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3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3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3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3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3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3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3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3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3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3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3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3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3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3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3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3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3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3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3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3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3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3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3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3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3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3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3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3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3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3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3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3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3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3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3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3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3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3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3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3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3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3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3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3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3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3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3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3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3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3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3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3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3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3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3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3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3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3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3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3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3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3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3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3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3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3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3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3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3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3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3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3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3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3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3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3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3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3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3"/>
      <c r="B329" s="1"/>
      <c r="C329" s="1"/>
      <c r="D329" s="1"/>
      <c r="E329" s="1"/>
      <c r="F329" s="1"/>
      <c r="G329" s="1"/>
      <c r="H329" s="1"/>
    </row>
  </sheetData>
  <mergeCells count="31">
    <mergeCell ref="B12:C12"/>
    <mergeCell ref="D12:F12"/>
    <mergeCell ref="G12:I12"/>
    <mergeCell ref="B10:I10"/>
    <mergeCell ref="J10:K10"/>
    <mergeCell ref="L10:Y10"/>
    <mergeCell ref="Z10:AD10"/>
    <mergeCell ref="AE10:AF10"/>
    <mergeCell ref="T12:W12"/>
    <mergeCell ref="X12:AA12"/>
    <mergeCell ref="AB12:AD12"/>
    <mergeCell ref="L12:O12"/>
    <mergeCell ref="P12:S12"/>
    <mergeCell ref="L13:O13"/>
    <mergeCell ref="P13:S13"/>
    <mergeCell ref="T13:W13"/>
    <mergeCell ref="X13:AA13"/>
    <mergeCell ref="AB13:AD13"/>
    <mergeCell ref="Z20:AC20"/>
    <mergeCell ref="AD20:AG20"/>
    <mergeCell ref="A15:C15"/>
    <mergeCell ref="B17:I17"/>
    <mergeCell ref="J17:K17"/>
    <mergeCell ref="L17:AD17"/>
    <mergeCell ref="AE17:AF17"/>
    <mergeCell ref="J20:M20"/>
    <mergeCell ref="N20:Q20"/>
    <mergeCell ref="R20:U20"/>
    <mergeCell ref="V20:Y20"/>
    <mergeCell ref="B20:E20"/>
    <mergeCell ref="F20:I20"/>
  </mergeCells>
  <conditionalFormatting sqref="B11:AF11">
    <cfRule type="cellIs" dxfId="47" priority="11" operator="lessThan">
      <formula>0</formula>
    </cfRule>
    <cfRule type="cellIs" dxfId="46" priority="12" operator="greaterThan">
      <formula>1</formula>
    </cfRule>
  </conditionalFormatting>
  <conditionalFormatting sqref="L11:O11">
    <cfRule type="cellIs" dxfId="45" priority="10" operator="greaterThan">
      <formula>0</formula>
    </cfRule>
  </conditionalFormatting>
  <conditionalFormatting sqref="Z10:AD10">
    <cfRule type="cellIs" dxfId="44" priority="1" operator="greaterThan">
      <formula>399</formula>
    </cfRule>
    <cfRule type="cellIs" dxfId="43" priority="2" operator="between">
      <formula>0</formula>
      <formula>399.9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ellIs" dxfId="42" priority="4" operator="greaterThan">
      <formula>399.9</formula>
    </cfRule>
    <cfRule type="cellIs" dxfId="41" priority="5" operator="greaterThan">
      <formula>"399.9"</formula>
    </cfRule>
    <cfRule type="cellIs" dxfId="40" priority="9" operator="between">
      <formula>108</formula>
      <formula>117.95</formula>
    </cfRule>
  </conditionalFormatting>
  <conditionalFormatting sqref="P12:S12">
    <cfRule type="cellIs" dxfId="39" priority="8" operator="greaterThan">
      <formula>9</formula>
    </cfRule>
  </conditionalFormatting>
  <conditionalFormatting sqref="T12:W12">
    <cfRule type="cellIs" dxfId="38" priority="7" operator="greaterThan">
      <formula>9</formula>
    </cfRule>
  </conditionalFormatting>
  <conditionalFormatting sqref="X12:AA12">
    <cfRule type="cellIs" dxfId="37" priority="6" operator="greaterThan">
      <formula>9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topLeftCell="A2" workbookViewId="0">
      <selection activeCell="B2" sqref="B2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32</v>
      </c>
      <c r="B1" s="5"/>
      <c r="C1" s="5"/>
    </row>
    <row r="2" spans="1:33" ht="15.75" customHeight="1" x14ac:dyDescent="0.55000000000000004">
      <c r="A2"/>
      <c r="B2" s="339" t="s">
        <v>33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37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34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46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3" x14ac:dyDescent="0.55000000000000004">
      <c r="A5" s="1"/>
      <c r="B5" s="3" t="s">
        <v>35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38</v>
      </c>
      <c r="AB5" s="4"/>
      <c r="AC5" s="4"/>
      <c r="AD5" s="4"/>
      <c r="AE5" s="4"/>
      <c r="AF5" s="4"/>
      <c r="AG5" s="4"/>
    </row>
    <row r="6" spans="1:33" ht="15.3" x14ac:dyDescent="0.55000000000000004">
      <c r="A6" s="1"/>
      <c r="B6" s="3" t="s">
        <v>36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8"/>
      <c r="X6" s="34"/>
      <c r="Y6" s="35"/>
      <c r="Z6" s="34"/>
      <c r="AA6" s="34"/>
      <c r="AB6" s="35"/>
      <c r="AC6" s="34"/>
      <c r="AD6" s="34"/>
      <c r="AE6" s="4"/>
      <c r="AF6" s="4"/>
      <c r="AG6" s="4"/>
    </row>
    <row r="7" spans="1:33" ht="22.5" x14ac:dyDescent="0.75">
      <c r="A7" s="1"/>
      <c r="B7" s="3" t="s">
        <v>437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83">
        <f>AE25</f>
        <v>114.45</v>
      </c>
      <c r="AA10" s="484"/>
      <c r="AB10" s="484"/>
      <c r="AC10" s="484"/>
      <c r="AD10" s="485"/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0</v>
      </c>
      <c r="C11" s="30">
        <v>0</v>
      </c>
      <c r="D11" s="31">
        <v>0</v>
      </c>
      <c r="E11" s="29">
        <v>1</v>
      </c>
      <c r="F11" s="30">
        <v>1</v>
      </c>
      <c r="G11" s="31">
        <v>0</v>
      </c>
      <c r="H11" s="29">
        <v>0</v>
      </c>
      <c r="I11" s="32">
        <v>0</v>
      </c>
      <c r="J11" s="29">
        <v>0</v>
      </c>
      <c r="K11" s="32">
        <v>0</v>
      </c>
      <c r="L11" s="60">
        <v>0</v>
      </c>
      <c r="M11" s="61">
        <v>0</v>
      </c>
      <c r="N11" s="61">
        <v>0</v>
      </c>
      <c r="O11" s="61">
        <v>0</v>
      </c>
      <c r="P11" s="30">
        <v>1</v>
      </c>
      <c r="Q11" s="30">
        <v>0</v>
      </c>
      <c r="R11" s="30">
        <v>1</v>
      </c>
      <c r="S11" s="30">
        <v>0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  <c r="Y11" s="30">
        <v>0</v>
      </c>
      <c r="Z11" s="30">
        <v>1</v>
      </c>
      <c r="AA11" s="30">
        <v>0</v>
      </c>
      <c r="AB11" s="30">
        <v>1</v>
      </c>
      <c r="AC11" s="30">
        <v>0</v>
      </c>
      <c r="AD11" s="31">
        <v>0</v>
      </c>
      <c r="AE11" s="39">
        <v>0</v>
      </c>
      <c r="AF11" s="31">
        <v>0</v>
      </c>
      <c r="AG11" s="25">
        <f>IF(SUM(B11:AF11)=0,0,IF(ISEVEN(COUNTIFS(B11:AF11,"=1")),1,0))</f>
        <v>0</v>
      </c>
    </row>
    <row r="12" spans="1:33" ht="20.100000000000001" customHeight="1" thickBot="1" x14ac:dyDescent="0.6">
      <c r="A12" s="64" t="s">
        <v>19</v>
      </c>
      <c r="B12" s="441">
        <f>SUM(B25:C25)</f>
        <v>0</v>
      </c>
      <c r="C12" s="443"/>
      <c r="D12" s="441">
        <f>SUM(D25:F25)</f>
        <v>3</v>
      </c>
      <c r="E12" s="442"/>
      <c r="F12" s="443"/>
      <c r="G12" s="441">
        <f>SUM(G25:I25)</f>
        <v>0</v>
      </c>
      <c r="H12" s="442"/>
      <c r="I12" s="443"/>
      <c r="J12" s="15"/>
      <c r="K12" s="15"/>
      <c r="L12" s="468" t="str">
        <f>IF(M24&gt;0,"Erreur","")</f>
        <v/>
      </c>
      <c r="M12" s="469"/>
      <c r="N12" s="469"/>
      <c r="O12" s="470"/>
      <c r="P12" s="480">
        <f>SUM(P24:S24)</f>
        <v>5</v>
      </c>
      <c r="Q12" s="481"/>
      <c r="R12" s="481"/>
      <c r="S12" s="482"/>
      <c r="T12" s="480">
        <f>SUM(T24:W24)</f>
        <v>4</v>
      </c>
      <c r="U12" s="481"/>
      <c r="V12" s="481"/>
      <c r="W12" s="482"/>
      <c r="X12" s="480">
        <f>SUM(X24:AA24)</f>
        <v>4</v>
      </c>
      <c r="Y12" s="481"/>
      <c r="Z12" s="481"/>
      <c r="AA12" s="482"/>
      <c r="AB12" s="480">
        <f>SUM(AB24:AD24)</f>
        <v>1</v>
      </c>
      <c r="AC12" s="481"/>
      <c r="AD12" s="482"/>
      <c r="AE12" s="64"/>
      <c r="AF12" s="64"/>
      <c r="AG12" s="64"/>
    </row>
    <row r="13" spans="1:33" ht="17.25" customHeight="1" thickBot="1" x14ac:dyDescent="0.6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468"/>
      <c r="M13" s="469"/>
      <c r="N13" s="469"/>
      <c r="O13" s="470"/>
      <c r="P13" s="486" t="s">
        <v>40</v>
      </c>
      <c r="Q13" s="487"/>
      <c r="R13" s="487"/>
      <c r="S13" s="488"/>
      <c r="T13" s="471" t="s">
        <v>39</v>
      </c>
      <c r="U13" s="472"/>
      <c r="V13" s="472"/>
      <c r="W13" s="473"/>
      <c r="X13" s="474">
        <v>1</v>
      </c>
      <c r="Y13" s="475"/>
      <c r="Z13" s="475"/>
      <c r="AA13" s="476"/>
      <c r="AB13" s="474">
        <v>10</v>
      </c>
      <c r="AC13" s="475"/>
      <c r="AD13" s="476"/>
      <c r="AE13" s="64"/>
      <c r="AF13" s="64"/>
      <c r="AG13" s="64"/>
    </row>
    <row r="14" spans="1:33" ht="21.75" customHeight="1" x14ac:dyDescent="0.55000000000000004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40"/>
      <c r="M14" s="40"/>
      <c r="N14" s="40"/>
      <c r="O14" s="40"/>
      <c r="P14" s="41"/>
      <c r="Q14" s="41"/>
      <c r="R14" s="41"/>
      <c r="S14" s="41"/>
      <c r="T14" s="42"/>
      <c r="U14" s="42"/>
      <c r="V14" s="42"/>
      <c r="W14" s="42"/>
      <c r="X14" s="43"/>
      <c r="Y14" s="43"/>
      <c r="Z14" s="43"/>
      <c r="AA14" s="43"/>
      <c r="AB14" s="43"/>
      <c r="AC14" s="43"/>
      <c r="AD14" s="43"/>
      <c r="AE14" s="36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7">
        <f>B9</f>
        <v>1</v>
      </c>
      <c r="C16" s="7">
        <f t="shared" ref="C16:I16" si="0">C9</f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9"/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0</v>
      </c>
      <c r="C18" s="11">
        <f t="shared" ref="C18:I18" si="1">C11</f>
        <v>0</v>
      </c>
      <c r="D18" s="11">
        <f t="shared" si="1"/>
        <v>0</v>
      </c>
      <c r="E18" s="11">
        <f t="shared" si="1"/>
        <v>1</v>
      </c>
      <c r="F18" s="11">
        <f t="shared" si="1"/>
        <v>1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>IF(J11=0,0, IF(J11=1,1,""))</f>
        <v>0</v>
      </c>
      <c r="K18" s="13">
        <f>IF(K11=0,0, IF(K11=1,1,""))</f>
        <v>0</v>
      </c>
      <c r="L18" s="49">
        <f t="shared" ref="L18:AD18" si="2">IF(L11=0,0, IF(L11=1,1,""))</f>
        <v>0</v>
      </c>
      <c r="M18" s="27">
        <f t="shared" si="2"/>
        <v>0</v>
      </c>
      <c r="N18" s="27">
        <f t="shared" si="2"/>
        <v>0</v>
      </c>
      <c r="O18" s="27">
        <f t="shared" si="2"/>
        <v>0</v>
      </c>
      <c r="P18" s="27">
        <f t="shared" si="2"/>
        <v>1</v>
      </c>
      <c r="Q18" s="27">
        <f t="shared" si="2"/>
        <v>0</v>
      </c>
      <c r="R18" s="27">
        <f t="shared" si="2"/>
        <v>1</v>
      </c>
      <c r="S18" s="27">
        <f t="shared" si="2"/>
        <v>0</v>
      </c>
      <c r="T18" s="27">
        <f t="shared" si="2"/>
        <v>0</v>
      </c>
      <c r="U18" s="27">
        <f t="shared" si="2"/>
        <v>0</v>
      </c>
      <c r="V18" s="27">
        <f t="shared" si="2"/>
        <v>1</v>
      </c>
      <c r="W18" s="27">
        <f t="shared" si="2"/>
        <v>0</v>
      </c>
      <c r="X18" s="27">
        <f t="shared" si="2"/>
        <v>0</v>
      </c>
      <c r="Y18" s="27">
        <f t="shared" si="2"/>
        <v>0</v>
      </c>
      <c r="Z18" s="27">
        <f t="shared" si="2"/>
        <v>1</v>
      </c>
      <c r="AA18" s="27">
        <f t="shared" si="2"/>
        <v>0</v>
      </c>
      <c r="AB18" s="27">
        <f t="shared" si="2"/>
        <v>1</v>
      </c>
      <c r="AC18" s="27">
        <f t="shared" si="2"/>
        <v>0</v>
      </c>
      <c r="AD18" s="13">
        <f t="shared" si="2"/>
        <v>0</v>
      </c>
      <c r="AE18" s="38">
        <f>AE11</f>
        <v>0</v>
      </c>
      <c r="AF18" s="13">
        <f>AF11</f>
        <v>0</v>
      </c>
      <c r="AG18" s="26">
        <f>AG11</f>
        <v>0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>DEC2HEX(B18*1+C18*2+D18*4+E18*8)</f>
        <v>8</v>
      </c>
      <c r="C20" s="442"/>
      <c r="D20" s="442"/>
      <c r="E20" s="443"/>
      <c r="F20" s="441" t="str">
        <f>DEC2HEX(F18*1+G18*2+H18*4+I18*8)</f>
        <v>1</v>
      </c>
      <c r="G20" s="442"/>
      <c r="H20" s="442"/>
      <c r="I20" s="443"/>
      <c r="J20" s="441" t="str">
        <f>DEC2HEX(J18*1+K18*2+L18*4+M18*8)</f>
        <v>0</v>
      </c>
      <c r="K20" s="442"/>
      <c r="L20" s="442"/>
      <c r="M20" s="443"/>
      <c r="N20" s="441" t="str">
        <f t="shared" ref="N20" si="3">DEC2HEX(N18*1+O18*2+P18*4+Q18*8)</f>
        <v>4</v>
      </c>
      <c r="O20" s="442"/>
      <c r="P20" s="442"/>
      <c r="Q20" s="443"/>
      <c r="R20" s="441" t="str">
        <f t="shared" ref="R20" si="4">DEC2HEX(R18*1+S18*2+T18*4+U18*8)</f>
        <v>1</v>
      </c>
      <c r="S20" s="442"/>
      <c r="T20" s="442"/>
      <c r="U20" s="443"/>
      <c r="V20" s="441" t="str">
        <f t="shared" ref="V20" si="5">DEC2HEX(V18*1+W18*2+X18*4+Y18*8)</f>
        <v>1</v>
      </c>
      <c r="W20" s="442"/>
      <c r="X20" s="442"/>
      <c r="Y20" s="443"/>
      <c r="Z20" s="441" t="str">
        <f t="shared" ref="Z20" si="6">DEC2HEX(Z18*1+AA18*2+AB18*4+AC18*8)</f>
        <v>5</v>
      </c>
      <c r="AA20" s="442"/>
      <c r="AB20" s="442"/>
      <c r="AC20" s="443"/>
      <c r="AD20" s="441" t="str">
        <f t="shared" ref="AD20" si="7">DEC2HEX(AD18*1+AE18*2+AF18*4+AG18*8)</f>
        <v>0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L24" s="2"/>
      <c r="M24" s="2"/>
      <c r="N24" s="2" t="str">
        <f t="shared" ref="N24" si="8">IF(ISBLANK(N12),"",N16)</f>
        <v/>
      </c>
      <c r="O24" s="2"/>
      <c r="P24" s="2">
        <f>IF(P11=0,0, IF(P11=1,1,""))</f>
        <v>1</v>
      </c>
      <c r="Q24" s="2">
        <f>IF(Q11=0,0, IF(Q11=1,2,""))</f>
        <v>0</v>
      </c>
      <c r="R24" s="2">
        <f>IF(R11=0,0, IF(R11=1,4,""))</f>
        <v>4</v>
      </c>
      <c r="S24" s="2">
        <f>IF(S11=0,0, IF(S11=1,8,""))</f>
        <v>0</v>
      </c>
      <c r="T24" s="2">
        <f>IF(T11=0,0, IF(T11=1,1,""))</f>
        <v>0</v>
      </c>
      <c r="U24" s="2">
        <f>IF(U11=0,0, IF(U11=1,2,""))</f>
        <v>0</v>
      </c>
      <c r="V24" s="2">
        <f>IF(V11=0,0, IF(V11=1,4,""))</f>
        <v>4</v>
      </c>
      <c r="W24" s="2">
        <f>IF(W11=0,0, IF(W11=1,8,""))</f>
        <v>0</v>
      </c>
      <c r="X24" s="2">
        <f>IF(X11=0,0, IF(X11=1,1,""))</f>
        <v>0</v>
      </c>
      <c r="Y24" s="2">
        <f>IF(Y11=0,0, IF(Y11=1,2,""))</f>
        <v>0</v>
      </c>
      <c r="Z24" s="2">
        <f>IF(Z11=0,0, IF(Z11=1,4,""))</f>
        <v>4</v>
      </c>
      <c r="AA24" s="2">
        <f>IF(AA11=0,0, IF(AA11=1,8,""))</f>
        <v>0</v>
      </c>
      <c r="AB24" s="2">
        <f>IF(AB11=0,0, IF(AB11=1,1,""))</f>
        <v>1</v>
      </c>
      <c r="AC24" s="2">
        <f>IF(AC11=0,0, IF(AC11=1,2,""))</f>
        <v>0</v>
      </c>
      <c r="AD24" s="2">
        <f>IF(AD11=0,0, IF(AD11=1,4,""))</f>
        <v>0</v>
      </c>
      <c r="AE24" s="2">
        <f>SUM(P24:AD24)</f>
        <v>14</v>
      </c>
    </row>
    <row r="25" spans="1:33" ht="55.5" customHeight="1" x14ac:dyDescent="0.55000000000000004">
      <c r="A25"/>
      <c r="B25" s="2">
        <f>IF(B11=0,0, IF(B11=1,2,""))</f>
        <v>0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2</v>
      </c>
      <c r="F25" s="2">
        <f>IF(F11=0,0, IF(F11=1,1,""))</f>
        <v>1</v>
      </c>
      <c r="G25" s="2">
        <f>IF(G11=0,0, IF(G11=1,4,""))</f>
        <v>0</v>
      </c>
      <c r="H25" s="2">
        <f>IF(H11=0,0, IF(H11=1,2,""))</f>
        <v>0</v>
      </c>
      <c r="I25" s="2">
        <f>IF(I11=0,0, IF(I11=1,1,""))</f>
        <v>0</v>
      </c>
      <c r="L25" s="16"/>
      <c r="M25" s="16" t="str">
        <f t="shared" ref="M25:O25" si="9">IF(ISBLANK(M12),"",IF(M11=1,M12,0))</f>
        <v/>
      </c>
      <c r="N25" s="16" t="str">
        <f t="shared" si="9"/>
        <v/>
      </c>
      <c r="O25" s="16" t="str">
        <f t="shared" si="9"/>
        <v/>
      </c>
      <c r="P25" s="58">
        <f>P12*0.01</f>
        <v>0.05</v>
      </c>
      <c r="Q25" s="58"/>
      <c r="R25" s="58"/>
      <c r="S25" s="50"/>
      <c r="T25" s="50"/>
      <c r="U25" s="58">
        <f>T12*0.1</f>
        <v>0.4</v>
      </c>
      <c r="V25" s="58"/>
      <c r="W25" s="50"/>
      <c r="X25" s="58">
        <f>X12</f>
        <v>4</v>
      </c>
      <c r="Y25" s="58"/>
      <c r="Z25" s="58"/>
      <c r="AA25" s="50"/>
      <c r="AB25" s="58">
        <f>AB12*10</f>
        <v>10</v>
      </c>
      <c r="AC25" s="58"/>
      <c r="AD25" s="58">
        <f>SUM(P25:AC25)</f>
        <v>14.45</v>
      </c>
      <c r="AE25" s="57">
        <f>IF(AD25=0, 0,100+AD25)</f>
        <v>114.45</v>
      </c>
      <c r="AF25" s="57"/>
      <c r="AG25" s="50"/>
    </row>
    <row r="26" spans="1:33" s="19" customFormat="1" ht="169.5" customHeight="1" x14ac:dyDescent="0.55000000000000004">
      <c r="F26" s="18"/>
      <c r="G26" s="18"/>
      <c r="H26" s="18"/>
      <c r="I26" s="18"/>
      <c r="J26" s="18"/>
      <c r="K26" s="18"/>
      <c r="L26" s="20"/>
      <c r="M26" s="20"/>
      <c r="N26" s="20" t="str">
        <f>IF(ISBLANK(N12),"",IF(N11=1,2^(N16-$AE$24),0))</f>
        <v/>
      </c>
      <c r="O26" s="20" t="str">
        <f>IF(ISBLANK(O12),"",IF(O11=1,2^(O16-$AE$24),0))</f>
        <v/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3" ht="15" customHeight="1" x14ac:dyDescent="0.55000000000000004">
      <c r="A27"/>
    </row>
    <row r="28" spans="1:33" ht="15.75" customHeight="1" x14ac:dyDescent="0.55000000000000004">
      <c r="A28"/>
    </row>
    <row r="29" spans="1:33" ht="15" customHeight="1" x14ac:dyDescent="0.55000000000000004">
      <c r="A29"/>
    </row>
    <row r="30" spans="1:33" ht="15.75" customHeight="1" x14ac:dyDescent="0.55000000000000004">
      <c r="A3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31">
    <mergeCell ref="N20:Q20"/>
    <mergeCell ref="R20:U20"/>
    <mergeCell ref="V20:Y20"/>
    <mergeCell ref="T12:W12"/>
    <mergeCell ref="B20:E20"/>
    <mergeCell ref="F20:I20"/>
    <mergeCell ref="X12:AA12"/>
    <mergeCell ref="AB12:AD12"/>
    <mergeCell ref="L13:O13"/>
    <mergeCell ref="P13:S13"/>
    <mergeCell ref="T13:W13"/>
    <mergeCell ref="X13:AA13"/>
    <mergeCell ref="AB13:AD13"/>
    <mergeCell ref="L12:O12"/>
    <mergeCell ref="P12:S12"/>
    <mergeCell ref="B10:I10"/>
    <mergeCell ref="J10:K10"/>
    <mergeCell ref="L10:Y10"/>
    <mergeCell ref="Z10:AD10"/>
    <mergeCell ref="Z20:AC20"/>
    <mergeCell ref="AD20:AG20"/>
    <mergeCell ref="B12:C12"/>
    <mergeCell ref="D12:F12"/>
    <mergeCell ref="G12:I12"/>
    <mergeCell ref="A15:C15"/>
    <mergeCell ref="B17:I17"/>
    <mergeCell ref="J17:K17"/>
    <mergeCell ref="L17:AD17"/>
    <mergeCell ref="AE17:AF17"/>
    <mergeCell ref="J20:M20"/>
    <mergeCell ref="AE10:AF10"/>
  </mergeCells>
  <conditionalFormatting sqref="B11:AF11">
    <cfRule type="cellIs" dxfId="36" priority="8" operator="lessThan">
      <formula>0</formula>
    </cfRule>
    <cfRule type="cellIs" dxfId="35" priority="9" operator="greaterThan">
      <formula>1</formula>
    </cfRule>
  </conditionalFormatting>
  <conditionalFormatting sqref="L11:O11">
    <cfRule type="cellIs" dxfId="34" priority="7" operator="greaterThan">
      <formula>0</formula>
    </cfRule>
  </conditionalFormatting>
  <conditionalFormatting sqref="Z10:AD10">
    <cfRule type="cellIs" dxfId="33" priority="6" operator="between">
      <formula>108</formula>
      <formula>117.95</formula>
    </cfRule>
  </conditionalFormatting>
  <conditionalFormatting sqref="P12:S12">
    <cfRule type="cellIs" dxfId="32" priority="5" operator="greaterThan">
      <formula>9</formula>
    </cfRule>
  </conditionalFormatting>
  <conditionalFormatting sqref="T12:W12">
    <cfRule type="cellIs" dxfId="31" priority="4" operator="greaterThan">
      <formula>9</formula>
    </cfRule>
  </conditionalFormatting>
  <conditionalFormatting sqref="X12:AA12">
    <cfRule type="cellIs" dxfId="30" priority="3" operator="greaterThan">
      <formula>9</formula>
    </cfRule>
  </conditionalFormatting>
  <conditionalFormatting sqref="B11:I11">
    <cfRule type="cellIs" dxfId="29" priority="1" operator="lessThan">
      <formula>0</formula>
    </cfRule>
    <cfRule type="cellIs" dxfId="28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329"/>
  <sheetViews>
    <sheetView workbookViewId="0">
      <selection activeCell="AE18" sqref="AE18"/>
    </sheetView>
  </sheetViews>
  <sheetFormatPr baseColWidth="10" defaultRowHeight="14.4" x14ac:dyDescent="0.55000000000000004"/>
  <cols>
    <col min="1" max="1" width="9.15625" style="2" customWidth="1"/>
    <col min="2" max="33" width="4.68359375" customWidth="1"/>
  </cols>
  <sheetData>
    <row r="1" spans="1:33" ht="17.7" x14ac:dyDescent="0.6">
      <c r="A1" s="5" t="s">
        <v>42</v>
      </c>
      <c r="B1" s="5"/>
      <c r="C1" s="5"/>
    </row>
    <row r="2" spans="1:33" ht="15.75" customHeight="1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.75" customHeight="1" x14ac:dyDescent="0.55000000000000004">
      <c r="A3"/>
      <c r="B3" s="3" t="s">
        <v>43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47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3" x14ac:dyDescent="0.55000000000000004">
      <c r="A5" s="1"/>
      <c r="B5" s="3" t="s">
        <v>461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3" x14ac:dyDescent="0.55000000000000004">
      <c r="A6" s="1"/>
      <c r="B6" s="3" t="s">
        <v>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8"/>
      <c r="X6" s="34"/>
      <c r="Y6" s="35"/>
      <c r="Z6" s="34"/>
      <c r="AA6" s="34"/>
      <c r="AB6" s="35"/>
      <c r="AC6" s="34"/>
      <c r="AD6" s="34"/>
      <c r="AE6" s="4"/>
      <c r="AF6" s="4"/>
      <c r="AG6" s="4"/>
    </row>
    <row r="7" spans="1:33" ht="20.100000000000001" x14ac:dyDescent="0.7">
      <c r="A7" s="1"/>
      <c r="B7" s="3" t="s">
        <v>438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20.100000000000001" customHeight="1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20.100000000000001" customHeight="1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47" t="s">
        <v>1</v>
      </c>
      <c r="K10" s="449"/>
      <c r="L10" s="456" t="s">
        <v>8</v>
      </c>
      <c r="M10" s="462"/>
      <c r="N10" s="462"/>
      <c r="O10" s="462"/>
      <c r="P10" s="462"/>
      <c r="Q10" s="462"/>
      <c r="R10" s="462"/>
      <c r="S10" s="462"/>
      <c r="T10" s="462"/>
      <c r="U10" s="462"/>
      <c r="V10" s="462"/>
      <c r="W10" s="462"/>
      <c r="X10" s="462"/>
      <c r="Y10" s="462"/>
      <c r="Z10" s="453">
        <f>AE25</f>
        <v>508</v>
      </c>
      <c r="AA10" s="454"/>
      <c r="AB10" s="454"/>
      <c r="AC10" s="454"/>
      <c r="AD10" s="455"/>
      <c r="AE10" s="456" t="s">
        <v>11</v>
      </c>
      <c r="AF10" s="457"/>
      <c r="AG10" s="22" t="s">
        <v>10</v>
      </c>
    </row>
    <row r="11" spans="1:33" ht="20.100000000000001" customHeight="1" thickBot="1" x14ac:dyDescent="0.6">
      <c r="A11" s="64" t="s">
        <v>6</v>
      </c>
      <c r="B11" s="29">
        <v>1</v>
      </c>
      <c r="C11" s="30">
        <v>0</v>
      </c>
      <c r="D11" s="31">
        <v>0</v>
      </c>
      <c r="E11" s="29">
        <v>0</v>
      </c>
      <c r="F11" s="30">
        <v>0</v>
      </c>
      <c r="G11" s="31">
        <v>0</v>
      </c>
      <c r="H11" s="29">
        <v>1</v>
      </c>
      <c r="I11" s="32">
        <v>0</v>
      </c>
      <c r="J11" s="29">
        <v>0</v>
      </c>
      <c r="K11" s="32">
        <v>0</v>
      </c>
      <c r="L11" s="45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1</v>
      </c>
      <c r="X11" s="46">
        <v>1</v>
      </c>
      <c r="Y11" s="46">
        <v>1</v>
      </c>
      <c r="Z11" s="46">
        <v>1</v>
      </c>
      <c r="AA11" s="46">
        <v>1</v>
      </c>
      <c r="AB11" s="46">
        <v>1</v>
      </c>
      <c r="AC11" s="46">
        <v>1</v>
      </c>
      <c r="AD11" s="364">
        <v>0</v>
      </c>
      <c r="AE11" s="29">
        <v>1</v>
      </c>
      <c r="AF11" s="31">
        <v>1</v>
      </c>
      <c r="AG11" s="25">
        <f>IF(SUM(B11:AF11)=0,0,IF(ISEVEN(COUNTIFS(B11:AF11,"=1")),1,0))</f>
        <v>0</v>
      </c>
    </row>
    <row r="12" spans="1:33" ht="20.100000000000001" customHeight="1" thickBot="1" x14ac:dyDescent="0.6">
      <c r="A12" s="64" t="s">
        <v>19</v>
      </c>
      <c r="B12" s="441">
        <f>SUM(B25:C25)</f>
        <v>2</v>
      </c>
      <c r="C12" s="443"/>
      <c r="D12" s="441">
        <f>SUM(D25:F25)</f>
        <v>0</v>
      </c>
      <c r="E12" s="442"/>
      <c r="F12" s="443"/>
      <c r="G12" s="441">
        <f>SUM(G25:I25)</f>
        <v>2</v>
      </c>
      <c r="H12" s="442"/>
      <c r="I12" s="443"/>
      <c r="J12" s="15"/>
      <c r="K12" s="15"/>
      <c r="L12" s="450">
        <f t="shared" ref="L12:AA12" si="0">M12/2</f>
        <v>1.953125E-3</v>
      </c>
      <c r="M12" s="450">
        <f t="shared" si="0"/>
        <v>3.90625E-3</v>
      </c>
      <c r="N12" s="450">
        <f t="shared" si="0"/>
        <v>7.8125E-3</v>
      </c>
      <c r="O12" s="450">
        <f t="shared" si="0"/>
        <v>1.5625E-2</v>
      </c>
      <c r="P12" s="450">
        <f t="shared" si="0"/>
        <v>3.125E-2</v>
      </c>
      <c r="Q12" s="450">
        <f t="shared" si="0"/>
        <v>6.25E-2</v>
      </c>
      <c r="R12" s="450">
        <f t="shared" si="0"/>
        <v>0.125</v>
      </c>
      <c r="S12" s="450">
        <f t="shared" si="0"/>
        <v>0.25</v>
      </c>
      <c r="T12" s="450">
        <f t="shared" si="0"/>
        <v>0.5</v>
      </c>
      <c r="U12" s="450">
        <f t="shared" si="0"/>
        <v>1</v>
      </c>
      <c r="V12" s="450">
        <f t="shared" si="0"/>
        <v>2</v>
      </c>
      <c r="W12" s="450">
        <f t="shared" si="0"/>
        <v>4</v>
      </c>
      <c r="X12" s="450">
        <f t="shared" si="0"/>
        <v>8</v>
      </c>
      <c r="Y12" s="450">
        <f t="shared" si="0"/>
        <v>16</v>
      </c>
      <c r="Z12" s="450">
        <f t="shared" si="0"/>
        <v>32</v>
      </c>
      <c r="AA12" s="450">
        <f t="shared" si="0"/>
        <v>64</v>
      </c>
      <c r="AB12" s="450">
        <f>AC12/2</f>
        <v>128</v>
      </c>
      <c r="AC12" s="450">
        <f>2^8</f>
        <v>256</v>
      </c>
      <c r="AD12" s="444">
        <v>-512</v>
      </c>
      <c r="AE12" s="43"/>
      <c r="AF12" s="64"/>
      <c r="AG12" s="64"/>
    </row>
    <row r="13" spans="1:33" ht="17.25" customHeight="1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15"/>
      <c r="K13" s="15"/>
      <c r="L13" s="451"/>
      <c r="M13" s="451"/>
      <c r="N13" s="451"/>
      <c r="O13" s="451"/>
      <c r="P13" s="451"/>
      <c r="Q13" s="451"/>
      <c r="R13" s="451"/>
      <c r="S13" s="451"/>
      <c r="T13" s="451"/>
      <c r="U13" s="451"/>
      <c r="V13" s="451"/>
      <c r="W13" s="451"/>
      <c r="X13" s="451"/>
      <c r="Y13" s="451"/>
      <c r="Z13" s="451"/>
      <c r="AA13" s="451"/>
      <c r="AB13" s="451"/>
      <c r="AC13" s="451"/>
      <c r="AD13" s="445"/>
      <c r="AE13" s="43"/>
      <c r="AF13" s="64"/>
      <c r="AG13" s="64"/>
    </row>
    <row r="14" spans="1:33" ht="21.75" customHeight="1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15"/>
      <c r="K14" s="15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46"/>
      <c r="AE14" s="43"/>
      <c r="AF14" s="64"/>
      <c r="AG14" s="64"/>
    </row>
    <row r="15" spans="1:33" ht="20.100000000000001" customHeight="1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20.100000000000001" customHeight="1" thickBot="1" x14ac:dyDescent="0.6">
      <c r="A16" s="6" t="s">
        <v>0</v>
      </c>
      <c r="B16" s="11">
        <f t="shared" ref="B16:I16" si="1">B9</f>
        <v>1</v>
      </c>
      <c r="C16" s="11">
        <f t="shared" si="1"/>
        <v>2</v>
      </c>
      <c r="D16" s="11">
        <f t="shared" si="1"/>
        <v>3</v>
      </c>
      <c r="E16" s="11">
        <f t="shared" si="1"/>
        <v>4</v>
      </c>
      <c r="F16" s="11">
        <f t="shared" si="1"/>
        <v>5</v>
      </c>
      <c r="G16" s="11">
        <f t="shared" si="1"/>
        <v>6</v>
      </c>
      <c r="H16" s="11">
        <f t="shared" si="1"/>
        <v>7</v>
      </c>
      <c r="I16" s="11">
        <f t="shared" si="1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3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1</v>
      </c>
      <c r="K17" s="449"/>
      <c r="L17" s="447" t="s">
        <v>8</v>
      </c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9"/>
      <c r="AE17" s="447" t="s">
        <v>11</v>
      </c>
      <c r="AF17" s="449"/>
      <c r="AG17" s="22" t="s">
        <v>10</v>
      </c>
    </row>
    <row r="18" spans="1:33" ht="20.100000000000001" customHeight="1" thickBot="1" x14ac:dyDescent="0.6">
      <c r="A18" s="64" t="s">
        <v>6</v>
      </c>
      <c r="B18" s="11">
        <f>B11</f>
        <v>1</v>
      </c>
      <c r="C18" s="11">
        <f t="shared" ref="C18:I18" si="2">C11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1</v>
      </c>
      <c r="I18" s="11">
        <f t="shared" si="2"/>
        <v>0</v>
      </c>
      <c r="J18" s="11">
        <f>IF(J11=0,0, IF(J11=1,1,""))</f>
        <v>0</v>
      </c>
      <c r="K18" s="27">
        <f>IF(K11=0,0, IF(K11=1,1,""))</f>
        <v>0</v>
      </c>
      <c r="L18" s="54">
        <f xml:space="preserve"> L11</f>
        <v>0</v>
      </c>
      <c r="M18" s="55">
        <f t="shared" ref="M18:AD18" si="3" xml:space="preserve"> M11</f>
        <v>0</v>
      </c>
      <c r="N18" s="55">
        <f t="shared" si="3"/>
        <v>0</v>
      </c>
      <c r="O18" s="55">
        <f t="shared" si="3"/>
        <v>0</v>
      </c>
      <c r="P18" s="55">
        <f t="shared" si="3"/>
        <v>0</v>
      </c>
      <c r="Q18" s="55">
        <f t="shared" si="3"/>
        <v>0</v>
      </c>
      <c r="R18" s="55">
        <f t="shared" si="3"/>
        <v>0</v>
      </c>
      <c r="S18" s="55">
        <f t="shared" si="3"/>
        <v>0</v>
      </c>
      <c r="T18" s="55">
        <f t="shared" si="3"/>
        <v>0</v>
      </c>
      <c r="U18" s="55">
        <f t="shared" si="3"/>
        <v>0</v>
      </c>
      <c r="V18" s="55">
        <f t="shared" si="3"/>
        <v>0</v>
      </c>
      <c r="W18" s="55">
        <f t="shared" si="3"/>
        <v>1</v>
      </c>
      <c r="X18" s="55">
        <f t="shared" si="3"/>
        <v>1</v>
      </c>
      <c r="Y18" s="55">
        <f t="shared" si="3"/>
        <v>1</v>
      </c>
      <c r="Z18" s="55">
        <f t="shared" si="3"/>
        <v>1</v>
      </c>
      <c r="AA18" s="55">
        <f t="shared" si="3"/>
        <v>1</v>
      </c>
      <c r="AB18" s="55">
        <f t="shared" si="3"/>
        <v>1</v>
      </c>
      <c r="AC18" s="55">
        <f t="shared" si="3"/>
        <v>1</v>
      </c>
      <c r="AD18" s="56">
        <f t="shared" si="3"/>
        <v>0</v>
      </c>
      <c r="AE18" s="13">
        <f>AE11</f>
        <v>1</v>
      </c>
      <c r="AF18" s="13">
        <f>AF11</f>
        <v>1</v>
      </c>
      <c r="AG18" s="26">
        <f>AG11</f>
        <v>0</v>
      </c>
    </row>
    <row r="19" spans="1:33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3" ht="20.100000000000001" customHeight="1" thickBot="1" x14ac:dyDescent="0.6">
      <c r="A20" s="2" t="s">
        <v>41</v>
      </c>
      <c r="B20" s="441" t="str">
        <f t="shared" ref="B20" si="4">DEC2HEX(B18*1+C18*2+D18*4+E18*8)</f>
        <v>1</v>
      </c>
      <c r="C20" s="442"/>
      <c r="D20" s="442"/>
      <c r="E20" s="443"/>
      <c r="F20" s="441" t="str">
        <f t="shared" ref="F20" si="5">DEC2HEX(F18*1+G18*2+H18*4+I18*8)</f>
        <v>4</v>
      </c>
      <c r="G20" s="442"/>
      <c r="H20" s="442"/>
      <c r="I20" s="443"/>
      <c r="J20" s="441" t="str">
        <f>DEC2HEX(J18*1+K18*2+L18*4+M18*8)</f>
        <v>0</v>
      </c>
      <c r="K20" s="442"/>
      <c r="L20" s="442"/>
      <c r="M20" s="443"/>
      <c r="N20" s="441" t="str">
        <f t="shared" ref="N20" si="6">DEC2HEX(N18*1+O18*2+P18*4+Q18*8)</f>
        <v>0</v>
      </c>
      <c r="O20" s="442"/>
      <c r="P20" s="442"/>
      <c r="Q20" s="443"/>
      <c r="R20" s="441" t="str">
        <f t="shared" ref="R20" si="7">DEC2HEX(R18*1+S18*2+T18*4+U18*8)</f>
        <v>0</v>
      </c>
      <c r="S20" s="442"/>
      <c r="T20" s="442"/>
      <c r="U20" s="443"/>
      <c r="V20" s="441" t="str">
        <f t="shared" ref="V20" si="8">DEC2HEX(V18*1+W18*2+X18*4+Y18*8)</f>
        <v>E</v>
      </c>
      <c r="W20" s="442"/>
      <c r="X20" s="442"/>
      <c r="Y20" s="443"/>
      <c r="Z20" s="441" t="str">
        <f t="shared" ref="Z20" si="9">DEC2HEX(Z18*1+AA18*2+AB18*4+AC18*8)</f>
        <v>F</v>
      </c>
      <c r="AA20" s="442"/>
      <c r="AB20" s="442"/>
      <c r="AC20" s="443"/>
      <c r="AD20" s="441" t="str">
        <f>DEC2HEX(AD18*1+AE18*2+AF18*4+AG18*8)</f>
        <v>6</v>
      </c>
      <c r="AE20" s="442"/>
      <c r="AF20" s="442"/>
      <c r="AG20" s="443"/>
    </row>
    <row r="21" spans="1:33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3" x14ac:dyDescent="0.55000000000000004">
      <c r="A22"/>
    </row>
    <row r="23" spans="1:33" ht="15" customHeight="1" x14ac:dyDescent="0.55000000000000004">
      <c r="A23"/>
      <c r="B23" s="295" t="s">
        <v>436</v>
      </c>
      <c r="N23" s="44"/>
    </row>
    <row r="24" spans="1:33" ht="15" customHeight="1" x14ac:dyDescent="0.55000000000000004">
      <c r="A24"/>
      <c r="J24" s="2" t="str">
        <f t="shared" ref="J24:K24" si="10">IF(ISBLANK(J12),"",J16)</f>
        <v/>
      </c>
      <c r="K24" s="2" t="str">
        <f t="shared" si="10"/>
        <v/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3" ht="55.5" customHeight="1" x14ac:dyDescent="0.55000000000000004">
      <c r="A25"/>
      <c r="B25" s="2">
        <f>IF(B11=0,0, IF(B11=1,2,""))</f>
        <v>2</v>
      </c>
      <c r="C25" s="2">
        <f>IF(C11=0,0, IF(C11=1,1,""))</f>
        <v>0</v>
      </c>
      <c r="D25" s="2">
        <f>IF(D11=0,0, IF(D11=1,4,""))</f>
        <v>0</v>
      </c>
      <c r="E25" s="2">
        <f>IF(E11=0,0, IF(E11=1,2,""))</f>
        <v>0</v>
      </c>
      <c r="F25" s="2">
        <f>IF(F11=0,0, IF(F11=1,1,""))</f>
        <v>0</v>
      </c>
      <c r="G25" s="2">
        <f>IF(G11=0,0, IF(G11=1,4,""))</f>
        <v>0</v>
      </c>
      <c r="H25" s="2">
        <f>IF(H11=0,0, IF(H11=1,2,""))</f>
        <v>2</v>
      </c>
      <c r="I25" s="2">
        <f>IF(I11=0,0, IF(I11=1,1,""))</f>
        <v>0</v>
      </c>
      <c r="J25" s="16" t="str">
        <f t="shared" ref="J25:AD25" si="11">IF(ISBLANK(J12),"",IF(J11=1,J12,0))</f>
        <v/>
      </c>
      <c r="K25" s="16" t="str">
        <f t="shared" si="11"/>
        <v/>
      </c>
      <c r="L25" s="17">
        <f t="shared" si="11"/>
        <v>0</v>
      </c>
      <c r="M25" s="17">
        <f t="shared" si="11"/>
        <v>0</v>
      </c>
      <c r="N25" s="17">
        <f t="shared" si="11"/>
        <v>0</v>
      </c>
      <c r="O25" s="17">
        <f t="shared" si="11"/>
        <v>0</v>
      </c>
      <c r="P25" s="17">
        <f t="shared" si="11"/>
        <v>0</v>
      </c>
      <c r="Q25" s="17">
        <f t="shared" si="11"/>
        <v>0</v>
      </c>
      <c r="R25" s="17">
        <f t="shared" si="11"/>
        <v>0</v>
      </c>
      <c r="S25" s="17">
        <f t="shared" si="11"/>
        <v>0</v>
      </c>
      <c r="T25" s="17">
        <f t="shared" si="11"/>
        <v>0</v>
      </c>
      <c r="U25" s="17">
        <f t="shared" si="11"/>
        <v>0</v>
      </c>
      <c r="V25" s="17">
        <f t="shared" si="11"/>
        <v>0</v>
      </c>
      <c r="W25" s="17">
        <f t="shared" si="11"/>
        <v>4</v>
      </c>
      <c r="X25" s="17">
        <f t="shared" si="11"/>
        <v>8</v>
      </c>
      <c r="Y25" s="17">
        <f t="shared" si="11"/>
        <v>16</v>
      </c>
      <c r="Z25" s="17">
        <f t="shared" si="11"/>
        <v>32</v>
      </c>
      <c r="AA25" s="17">
        <f t="shared" si="11"/>
        <v>64</v>
      </c>
      <c r="AB25" s="17">
        <f t="shared" si="11"/>
        <v>128</v>
      </c>
      <c r="AC25" s="17">
        <f t="shared" si="11"/>
        <v>256</v>
      </c>
      <c r="AD25" s="17">
        <f t="shared" si="11"/>
        <v>0</v>
      </c>
      <c r="AE25" s="17">
        <f>SUM(L25:AD25)</f>
        <v>508</v>
      </c>
      <c r="AG25" s="53"/>
    </row>
    <row r="26" spans="1:33" s="19" customFormat="1" ht="63.75" customHeight="1" x14ac:dyDescent="0.55000000000000004">
      <c r="D26" s="18"/>
      <c r="F26" s="18"/>
      <c r="G26" s="18"/>
      <c r="H26" s="18"/>
      <c r="J26" s="20" t="str">
        <f t="shared" ref="J26" si="12">IF(ISBLANK(J12),"",IF(J11=1,2^(J16-$AE$24),0))</f>
        <v/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G26" s="18"/>
    </row>
    <row r="27" spans="1:33" ht="41.25" customHeight="1" x14ac:dyDescent="0.55000000000000004">
      <c r="A27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ht="15.75" customHeight="1" x14ac:dyDescent="0.55000000000000004">
      <c r="A28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0"/>
      <c r="AG28" s="10"/>
    </row>
    <row r="29" spans="1:33" ht="15" customHeight="1" x14ac:dyDescent="0.55000000000000004">
      <c r="A29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10"/>
      <c r="AG29" s="10"/>
    </row>
    <row r="30" spans="1:33" ht="15.75" customHeight="1" x14ac:dyDescent="0.55000000000000004">
      <c r="A30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0"/>
      <c r="AG30" s="10"/>
    </row>
    <row r="31" spans="1:33" x14ac:dyDescent="0.55000000000000004">
      <c r="A31"/>
    </row>
    <row r="32" spans="1:33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B12:C12"/>
    <mergeCell ref="D12:F12"/>
    <mergeCell ref="G12:I12"/>
    <mergeCell ref="B17:I17"/>
    <mergeCell ref="J17:K17"/>
    <mergeCell ref="R12:R14"/>
    <mergeCell ref="S12:S14"/>
    <mergeCell ref="AD20:AG20"/>
    <mergeCell ref="L17:AD17"/>
    <mergeCell ref="AE17:AF17"/>
    <mergeCell ref="J20:M20"/>
    <mergeCell ref="N20:Q20"/>
    <mergeCell ref="R20:U20"/>
    <mergeCell ref="V20:Y20"/>
    <mergeCell ref="Z20:AC20"/>
    <mergeCell ref="Z12:Z14"/>
    <mergeCell ref="AA12:AA14"/>
    <mergeCell ref="L12:L14"/>
    <mergeCell ref="M12:M14"/>
    <mergeCell ref="Z10:AD10"/>
    <mergeCell ref="AE10:AF10"/>
    <mergeCell ref="AB12:AB14"/>
    <mergeCell ref="AC12:AC14"/>
    <mergeCell ref="AD12:AD14"/>
    <mergeCell ref="B20:E20"/>
    <mergeCell ref="F20:I20"/>
    <mergeCell ref="B10:I10"/>
    <mergeCell ref="J10:K10"/>
    <mergeCell ref="L10:Y10"/>
    <mergeCell ref="A15:C15"/>
    <mergeCell ref="T12:T14"/>
    <mergeCell ref="U12:U14"/>
    <mergeCell ref="V12:V14"/>
    <mergeCell ref="W12:W14"/>
    <mergeCell ref="X12:X14"/>
    <mergeCell ref="Y12:Y14"/>
    <mergeCell ref="N12:N14"/>
    <mergeCell ref="O12:O14"/>
    <mergeCell ref="P12:P14"/>
    <mergeCell ref="Q12:Q14"/>
  </mergeCells>
  <conditionalFormatting sqref="B11:AF11">
    <cfRule type="cellIs" dxfId="27" priority="3" operator="lessThan">
      <formula>0</formula>
    </cfRule>
    <cfRule type="cellIs" dxfId="26" priority="4" operator="greaterThan">
      <formula>1</formula>
    </cfRule>
  </conditionalFormatting>
  <conditionalFormatting sqref="B11:I11">
    <cfRule type="cellIs" dxfId="25" priority="1" operator="lessThan">
      <formula>0</formula>
    </cfRule>
    <cfRule type="cellIs" dxfId="24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329"/>
  <sheetViews>
    <sheetView workbookViewId="0">
      <selection activeCell="AD12" sqref="AD12:AD14"/>
    </sheetView>
  </sheetViews>
  <sheetFormatPr baseColWidth="10" defaultRowHeight="14.4" x14ac:dyDescent="0.55000000000000004"/>
  <cols>
    <col min="1" max="1" width="9.15625" style="2" customWidth="1"/>
    <col min="2" max="33" width="4.68359375" customWidth="1"/>
    <col min="34" max="34" width="6.83984375" customWidth="1"/>
  </cols>
  <sheetData>
    <row r="1" spans="1:33" ht="17.7" x14ac:dyDescent="0.6">
      <c r="A1" s="5" t="s">
        <v>30</v>
      </c>
      <c r="B1" s="5"/>
      <c r="C1" s="5"/>
    </row>
    <row r="2" spans="1:33" ht="15" x14ac:dyDescent="0.55000000000000004">
      <c r="A2"/>
      <c r="B2" s="3" t="s">
        <v>3</v>
      </c>
      <c r="C2" s="4"/>
      <c r="D2" s="4"/>
      <c r="E2" s="4"/>
      <c r="F2" s="4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3" t="s">
        <v>12</v>
      </c>
      <c r="X2" s="4"/>
      <c r="Y2" s="65">
        <v>0</v>
      </c>
      <c r="Z2" s="65">
        <v>0</v>
      </c>
      <c r="AA2" s="4" t="s">
        <v>13</v>
      </c>
      <c r="AB2" s="4"/>
      <c r="AC2" s="4"/>
      <c r="AD2" s="4"/>
      <c r="AE2" s="4"/>
      <c r="AF2" s="4"/>
      <c r="AG2" s="4"/>
    </row>
    <row r="3" spans="1:33" ht="15" x14ac:dyDescent="0.55000000000000004">
      <c r="A3"/>
      <c r="B3" s="3" t="s">
        <v>31</v>
      </c>
      <c r="C3" s="4"/>
      <c r="D3" s="4"/>
      <c r="E3" s="4"/>
      <c r="F3" s="4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65">
        <v>0</v>
      </c>
      <c r="Z3" s="65">
        <v>1</v>
      </c>
      <c r="AA3" s="4" t="s">
        <v>14</v>
      </c>
      <c r="AB3" s="4"/>
      <c r="AC3" s="4"/>
      <c r="AD3" s="4"/>
      <c r="AE3" s="4"/>
      <c r="AF3" s="4"/>
      <c r="AG3" s="4"/>
    </row>
    <row r="4" spans="1:33" ht="15.3" x14ac:dyDescent="0.55000000000000004">
      <c r="A4" s="1"/>
      <c r="B4" s="3" t="s">
        <v>48</v>
      </c>
      <c r="C4" s="4"/>
      <c r="D4" s="4"/>
      <c r="E4" s="4"/>
      <c r="F4" s="4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5">
        <v>1</v>
      </c>
      <c r="Z4" s="65">
        <v>0</v>
      </c>
      <c r="AA4" s="4" t="s">
        <v>15</v>
      </c>
      <c r="AB4" s="4"/>
      <c r="AC4" s="4"/>
      <c r="AD4" s="4"/>
      <c r="AE4" s="4"/>
      <c r="AF4" s="4"/>
      <c r="AG4" s="4"/>
    </row>
    <row r="5" spans="1:33" ht="15.6" thickBot="1" x14ac:dyDescent="0.6">
      <c r="A5" s="1"/>
      <c r="B5" s="3" t="s">
        <v>49</v>
      </c>
      <c r="C5" s="4"/>
      <c r="D5" s="4"/>
      <c r="E5" s="4"/>
      <c r="F5" s="4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5">
        <v>1</v>
      </c>
      <c r="Z5" s="65">
        <v>1</v>
      </c>
      <c r="AA5" s="4" t="s">
        <v>16</v>
      </c>
      <c r="AB5" s="4"/>
      <c r="AC5" s="4"/>
      <c r="AD5" s="4"/>
      <c r="AE5" s="4"/>
      <c r="AF5" s="4"/>
      <c r="AG5" s="4"/>
    </row>
    <row r="6" spans="1:33" ht="15.6" thickBot="1" x14ac:dyDescent="0.6">
      <c r="A6" s="1"/>
      <c r="B6" s="3" t="s">
        <v>24</v>
      </c>
      <c r="C6" s="4"/>
      <c r="D6" s="4"/>
      <c r="E6" s="4"/>
      <c r="F6" s="4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1" t="s">
        <v>9</v>
      </c>
      <c r="X6" s="34"/>
      <c r="Y6" s="35">
        <v>0</v>
      </c>
      <c r="Z6" s="34" t="s">
        <v>20</v>
      </c>
      <c r="AA6" s="34"/>
      <c r="AB6" s="35">
        <v>1</v>
      </c>
      <c r="AC6" s="34" t="s">
        <v>21</v>
      </c>
      <c r="AD6" s="34"/>
      <c r="AE6" s="4"/>
      <c r="AF6" s="4"/>
      <c r="AG6" s="4"/>
    </row>
    <row r="7" spans="1:33" ht="20.100000000000001" x14ac:dyDescent="0.7">
      <c r="A7" s="1"/>
      <c r="B7" s="3" t="s">
        <v>439</v>
      </c>
      <c r="C7" s="4"/>
      <c r="D7" s="4"/>
      <c r="E7" s="4"/>
      <c r="F7" s="4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24" t="s">
        <v>17</v>
      </c>
      <c r="X7" s="4"/>
      <c r="Y7" s="3" t="s">
        <v>18</v>
      </c>
      <c r="Z7" s="4"/>
      <c r="AA7" s="4"/>
      <c r="AB7" s="4"/>
      <c r="AC7" s="4"/>
      <c r="AD7" s="4"/>
      <c r="AE7" s="4"/>
      <c r="AF7" s="4"/>
      <c r="AG7" s="4"/>
    </row>
    <row r="8" spans="1:33" ht="14.7" thickBot="1" x14ac:dyDescent="0.6">
      <c r="A8"/>
    </row>
    <row r="9" spans="1:33" ht="14.7" thickBot="1" x14ac:dyDescent="0.6">
      <c r="A9" s="6" t="s">
        <v>0</v>
      </c>
      <c r="B9" s="7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9">
        <v>32</v>
      </c>
    </row>
    <row r="10" spans="1:33" s="10" customFormat="1" ht="15.3" thickBot="1" x14ac:dyDescent="0.6">
      <c r="B10" s="456" t="s">
        <v>44</v>
      </c>
      <c r="C10" s="462"/>
      <c r="D10" s="462"/>
      <c r="E10" s="462"/>
      <c r="F10" s="462"/>
      <c r="G10" s="462"/>
      <c r="H10" s="462"/>
      <c r="I10" s="457"/>
      <c r="J10" s="492" t="s">
        <v>8</v>
      </c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4"/>
      <c r="Z10" s="495">
        <f>IF(AD11=0,AD25,IF(AD11=1,-AD25,""))</f>
        <v>43692</v>
      </c>
      <c r="AA10" s="462"/>
      <c r="AB10" s="462"/>
      <c r="AC10" s="457"/>
      <c r="AD10" s="21" t="s">
        <v>9</v>
      </c>
      <c r="AE10" s="456" t="s">
        <v>11</v>
      </c>
      <c r="AF10" s="457"/>
      <c r="AG10" s="22" t="s">
        <v>10</v>
      </c>
    </row>
    <row r="11" spans="1:33" ht="15.3" thickBot="1" x14ac:dyDescent="0.6">
      <c r="A11" s="64" t="s">
        <v>6</v>
      </c>
      <c r="B11" s="29">
        <v>0</v>
      </c>
      <c r="C11" s="30">
        <v>0</v>
      </c>
      <c r="D11" s="31">
        <v>1</v>
      </c>
      <c r="E11" s="29">
        <v>1</v>
      </c>
      <c r="F11" s="30">
        <v>1</v>
      </c>
      <c r="G11" s="31">
        <v>1</v>
      </c>
      <c r="H11" s="29">
        <v>1</v>
      </c>
      <c r="I11" s="32">
        <v>0</v>
      </c>
      <c r="J11" s="29">
        <v>0</v>
      </c>
      <c r="K11" s="30">
        <v>0</v>
      </c>
      <c r="L11" s="30">
        <v>0</v>
      </c>
      <c r="M11" s="30">
        <v>0</v>
      </c>
      <c r="N11" s="30">
        <v>0</v>
      </c>
      <c r="O11" s="30">
        <v>1</v>
      </c>
      <c r="P11" s="30">
        <v>1</v>
      </c>
      <c r="Q11" s="30">
        <v>0</v>
      </c>
      <c r="R11" s="30">
        <v>1</v>
      </c>
      <c r="S11" s="30">
        <v>0</v>
      </c>
      <c r="T11" s="30">
        <v>1</v>
      </c>
      <c r="U11" s="30">
        <v>0</v>
      </c>
      <c r="V11" s="30">
        <v>1</v>
      </c>
      <c r="W11" s="30">
        <v>0</v>
      </c>
      <c r="X11" s="30">
        <v>1</v>
      </c>
      <c r="Y11" s="30">
        <v>0</v>
      </c>
      <c r="Z11" s="30">
        <v>1</v>
      </c>
      <c r="AA11" s="30">
        <v>0</v>
      </c>
      <c r="AB11" s="30">
        <v>1</v>
      </c>
      <c r="AC11" s="31">
        <v>0</v>
      </c>
      <c r="AD11" s="37">
        <v>0</v>
      </c>
      <c r="AE11" s="29">
        <v>1</v>
      </c>
      <c r="AF11" s="31">
        <v>1</v>
      </c>
      <c r="AG11" s="25">
        <f>IF(SUM(B11:AF11)=0,0,IF(ISEVEN(COUNTIFS(B11:AF11,"=1")),1,0))</f>
        <v>0</v>
      </c>
    </row>
    <row r="12" spans="1:33" ht="15.3" thickBot="1" x14ac:dyDescent="0.6">
      <c r="A12" s="64" t="s">
        <v>19</v>
      </c>
      <c r="B12" s="441">
        <f>SUM(B25:C25)</f>
        <v>0</v>
      </c>
      <c r="C12" s="443"/>
      <c r="D12" s="441">
        <f>SUM(D25:F25)</f>
        <v>7</v>
      </c>
      <c r="E12" s="442"/>
      <c r="F12" s="443"/>
      <c r="G12" s="441">
        <f>SUM(G25:I25)</f>
        <v>6</v>
      </c>
      <c r="H12" s="442"/>
      <c r="I12" s="443"/>
      <c r="J12" s="496">
        <f>2^-3</f>
        <v>0.125</v>
      </c>
      <c r="K12" s="499">
        <f>2^-2</f>
        <v>0.25</v>
      </c>
      <c r="L12" s="502">
        <f>2^-1</f>
        <v>0.5</v>
      </c>
      <c r="M12" s="505">
        <f>2^0</f>
        <v>1</v>
      </c>
      <c r="N12" s="505">
        <f>2^1</f>
        <v>2</v>
      </c>
      <c r="O12" s="505">
        <f>2^2</f>
        <v>4</v>
      </c>
      <c r="P12" s="505">
        <f>2^3</f>
        <v>8</v>
      </c>
      <c r="Q12" s="505">
        <f>2^4</f>
        <v>16</v>
      </c>
      <c r="R12" s="505">
        <f>2^5</f>
        <v>32</v>
      </c>
      <c r="S12" s="505">
        <f>2^6</f>
        <v>64</v>
      </c>
      <c r="T12" s="505">
        <f>2^7</f>
        <v>128</v>
      </c>
      <c r="U12" s="505">
        <f>2^8</f>
        <v>256</v>
      </c>
      <c r="V12" s="505">
        <f>2^9</f>
        <v>512</v>
      </c>
      <c r="W12" s="505">
        <f>2^10</f>
        <v>1024</v>
      </c>
      <c r="X12" s="505">
        <f>2^11</f>
        <v>2048</v>
      </c>
      <c r="Y12" s="505">
        <f>2^12</f>
        <v>4096</v>
      </c>
      <c r="Z12" s="505">
        <f>2^13</f>
        <v>8192</v>
      </c>
      <c r="AA12" s="505">
        <f>2^14</f>
        <v>16384</v>
      </c>
      <c r="AB12" s="505">
        <f>2^15</f>
        <v>32768</v>
      </c>
      <c r="AC12" s="508">
        <f>2^16</f>
        <v>65536</v>
      </c>
      <c r="AD12" s="489" t="s">
        <v>462</v>
      </c>
      <c r="AE12" s="64"/>
      <c r="AF12" s="64"/>
      <c r="AG12" s="64"/>
    </row>
    <row r="13" spans="1:33" ht="15" x14ac:dyDescent="0.55000000000000004">
      <c r="A13" s="64"/>
      <c r="B13" s="64"/>
      <c r="C13" s="64"/>
      <c r="D13" s="64"/>
      <c r="E13" s="64"/>
      <c r="F13" s="64"/>
      <c r="G13" s="64"/>
      <c r="H13" s="64"/>
      <c r="I13" s="64"/>
      <c r="J13" s="497"/>
      <c r="K13" s="500"/>
      <c r="L13" s="503"/>
      <c r="M13" s="506"/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9"/>
      <c r="AD13" s="490"/>
      <c r="AE13" s="64"/>
      <c r="AF13" s="64"/>
      <c r="AG13" s="64"/>
    </row>
    <row r="14" spans="1:33" ht="15.3" thickBot="1" x14ac:dyDescent="0.6">
      <c r="A14" s="64"/>
      <c r="B14" s="64"/>
      <c r="C14" s="64"/>
      <c r="D14" s="64"/>
      <c r="E14" s="64"/>
      <c r="F14" s="64"/>
      <c r="G14" s="64"/>
      <c r="H14" s="64"/>
      <c r="I14" s="64"/>
      <c r="J14" s="498"/>
      <c r="K14" s="501"/>
      <c r="L14" s="504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10"/>
      <c r="AD14" s="491"/>
      <c r="AE14" s="64"/>
      <c r="AF14" s="64"/>
      <c r="AG14" s="64"/>
    </row>
    <row r="15" spans="1:33" ht="15.3" thickBot="1" x14ac:dyDescent="0.6">
      <c r="A15" s="461" t="s">
        <v>7</v>
      </c>
      <c r="B15" s="461"/>
      <c r="C15" s="461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</row>
    <row r="16" spans="1:33" ht="14.7" thickBot="1" x14ac:dyDescent="0.6">
      <c r="A16" s="6" t="s">
        <v>0</v>
      </c>
      <c r="B16" s="7">
        <f t="shared" ref="B16:I16" si="0">B9</f>
        <v>1</v>
      </c>
      <c r="C16" s="7">
        <f t="shared" si="0"/>
        <v>2</v>
      </c>
      <c r="D16" s="7">
        <f t="shared" si="0"/>
        <v>3</v>
      </c>
      <c r="E16" s="7">
        <f t="shared" si="0"/>
        <v>4</v>
      </c>
      <c r="F16" s="7">
        <f t="shared" si="0"/>
        <v>5</v>
      </c>
      <c r="G16" s="7">
        <f t="shared" si="0"/>
        <v>6</v>
      </c>
      <c r="H16" s="7">
        <f t="shared" si="0"/>
        <v>7</v>
      </c>
      <c r="I16" s="7">
        <f t="shared" si="0"/>
        <v>8</v>
      </c>
      <c r="J16" s="8">
        <v>9</v>
      </c>
      <c r="K16" s="8">
        <v>10</v>
      </c>
      <c r="L16" s="8">
        <v>11</v>
      </c>
      <c r="M16" s="8">
        <v>12</v>
      </c>
      <c r="N16" s="8">
        <v>13</v>
      </c>
      <c r="O16" s="8">
        <v>14</v>
      </c>
      <c r="P16" s="8">
        <v>15</v>
      </c>
      <c r="Q16" s="8">
        <v>16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8">
        <v>24</v>
      </c>
      <c r="Z16" s="8">
        <v>25</v>
      </c>
      <c r="AA16" s="8">
        <v>26</v>
      </c>
      <c r="AB16" s="8">
        <v>27</v>
      </c>
      <c r="AC16" s="8">
        <v>28</v>
      </c>
      <c r="AD16" s="8">
        <v>29</v>
      </c>
      <c r="AE16" s="8">
        <v>30</v>
      </c>
      <c r="AF16" s="8">
        <v>31</v>
      </c>
      <c r="AG16" s="9">
        <v>32</v>
      </c>
    </row>
    <row r="17" spans="1:34" s="14" customFormat="1" ht="20.100000000000001" customHeight="1" thickBot="1" x14ac:dyDescent="0.6">
      <c r="B17" s="463" t="s">
        <v>44</v>
      </c>
      <c r="C17" s="464"/>
      <c r="D17" s="464"/>
      <c r="E17" s="464"/>
      <c r="F17" s="464"/>
      <c r="G17" s="464"/>
      <c r="H17" s="464"/>
      <c r="I17" s="465"/>
      <c r="J17" s="447" t="s">
        <v>8</v>
      </c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9"/>
      <c r="AD17" s="21" t="s">
        <v>9</v>
      </c>
      <c r="AE17" s="447" t="s">
        <v>11</v>
      </c>
      <c r="AF17" s="449"/>
      <c r="AG17" s="22" t="s">
        <v>10</v>
      </c>
    </row>
    <row r="18" spans="1:34" ht="20.100000000000001" customHeight="1" thickBot="1" x14ac:dyDescent="0.6">
      <c r="A18" s="64" t="s">
        <v>6</v>
      </c>
      <c r="B18" s="11">
        <f>B11</f>
        <v>0</v>
      </c>
      <c r="C18" s="11">
        <f t="shared" ref="C18:I18" si="1">C11</f>
        <v>0</v>
      </c>
      <c r="D18" s="11">
        <f t="shared" si="1"/>
        <v>1</v>
      </c>
      <c r="E18" s="11">
        <f t="shared" si="1"/>
        <v>1</v>
      </c>
      <c r="F18" s="11">
        <f t="shared" si="1"/>
        <v>1</v>
      </c>
      <c r="G18" s="11">
        <f t="shared" si="1"/>
        <v>1</v>
      </c>
      <c r="H18" s="11">
        <f t="shared" si="1"/>
        <v>1</v>
      </c>
      <c r="I18" s="11">
        <f t="shared" si="1"/>
        <v>0</v>
      </c>
      <c r="J18" s="11">
        <f>IF($AD$11=0,J11,J28)</f>
        <v>0</v>
      </c>
      <c r="K18" s="12">
        <f t="shared" ref="K18:AC18" si="2">IF($AD$11=0,K11,K28)</f>
        <v>0</v>
      </c>
      <c r="L18" s="12">
        <f t="shared" si="2"/>
        <v>0</v>
      </c>
      <c r="M18" s="12">
        <f t="shared" si="2"/>
        <v>0</v>
      </c>
      <c r="N18" s="12">
        <f t="shared" si="2"/>
        <v>0</v>
      </c>
      <c r="O18" s="12">
        <f t="shared" si="2"/>
        <v>1</v>
      </c>
      <c r="P18" s="12">
        <f t="shared" si="2"/>
        <v>1</v>
      </c>
      <c r="Q18" s="12">
        <f t="shared" si="2"/>
        <v>0</v>
      </c>
      <c r="R18" s="12">
        <f t="shared" si="2"/>
        <v>1</v>
      </c>
      <c r="S18" s="12">
        <f t="shared" si="2"/>
        <v>0</v>
      </c>
      <c r="T18" s="12">
        <f t="shared" si="2"/>
        <v>1</v>
      </c>
      <c r="U18" s="12">
        <f t="shared" si="2"/>
        <v>0</v>
      </c>
      <c r="V18" s="12">
        <f t="shared" si="2"/>
        <v>1</v>
      </c>
      <c r="W18" s="12">
        <f t="shared" si="2"/>
        <v>0</v>
      </c>
      <c r="X18" s="12">
        <f t="shared" si="2"/>
        <v>1</v>
      </c>
      <c r="Y18" s="12">
        <f t="shared" si="2"/>
        <v>0</v>
      </c>
      <c r="Z18" s="12">
        <f t="shared" si="2"/>
        <v>1</v>
      </c>
      <c r="AA18" s="12">
        <f t="shared" si="2"/>
        <v>0</v>
      </c>
      <c r="AB18" s="12">
        <f t="shared" si="2"/>
        <v>1</v>
      </c>
      <c r="AC18" s="13">
        <f t="shared" si="2"/>
        <v>0</v>
      </c>
      <c r="AD18" s="28">
        <f>AD11</f>
        <v>0</v>
      </c>
      <c r="AE18" s="11">
        <f>AE11</f>
        <v>1</v>
      </c>
      <c r="AF18" s="13">
        <f>AF11</f>
        <v>1</v>
      </c>
      <c r="AG18" s="26">
        <f>AG11</f>
        <v>0</v>
      </c>
    </row>
    <row r="19" spans="1:34" ht="20.100000000000001" customHeight="1" thickBot="1" x14ac:dyDescent="0.6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34" ht="20.100000000000001" customHeight="1" thickBot="1" x14ac:dyDescent="0.6">
      <c r="A20" s="2" t="s">
        <v>41</v>
      </c>
      <c r="B20" s="441" t="str">
        <f t="shared" ref="B20" si="3">DEC2HEX(B18*1+C18*2+D18*4+E18*8)</f>
        <v>C</v>
      </c>
      <c r="C20" s="442"/>
      <c r="D20" s="442"/>
      <c r="E20" s="443"/>
      <c r="F20" s="441" t="str">
        <f t="shared" ref="F20" si="4">DEC2HEX(F18*1+G18*2+H18*4+I18*8)</f>
        <v>7</v>
      </c>
      <c r="G20" s="442"/>
      <c r="H20" s="442"/>
      <c r="I20" s="443"/>
      <c r="J20" s="441" t="str">
        <f t="shared" ref="J20" si="5">DEC2HEX(J18*1+K18*2+L18*4+M18*8)</f>
        <v>0</v>
      </c>
      <c r="K20" s="442"/>
      <c r="L20" s="442"/>
      <c r="M20" s="443"/>
      <c r="N20" s="441" t="str">
        <f t="shared" ref="N20" si="6">DEC2HEX(N18*1+O18*2+P18*4+Q18*8)</f>
        <v>6</v>
      </c>
      <c r="O20" s="442"/>
      <c r="P20" s="442"/>
      <c r="Q20" s="443"/>
      <c r="R20" s="441" t="str">
        <f t="shared" ref="R20" si="7">DEC2HEX(R18*1+S18*2+T18*4+U18*8)</f>
        <v>5</v>
      </c>
      <c r="S20" s="442"/>
      <c r="T20" s="442"/>
      <c r="U20" s="443"/>
      <c r="V20" s="441" t="str">
        <f t="shared" ref="V20" si="8">DEC2HEX(V18*1+W18*2+X18*4+Y18*8)</f>
        <v>5</v>
      </c>
      <c r="W20" s="442"/>
      <c r="X20" s="442"/>
      <c r="Y20" s="443"/>
      <c r="Z20" s="441" t="str">
        <f t="shared" ref="Z20" si="9">DEC2HEX(Z18*1+AA18*2+AB18*4+AC18*8)</f>
        <v>5</v>
      </c>
      <c r="AA20" s="442"/>
      <c r="AB20" s="442"/>
      <c r="AC20" s="443"/>
      <c r="AD20" s="441" t="str">
        <f t="shared" ref="AD20" si="10">DEC2HEX(AD18*1+AE18*2+AF18*4+AG18*8)</f>
        <v>6</v>
      </c>
      <c r="AE20" s="442"/>
      <c r="AF20" s="442"/>
      <c r="AG20" s="443"/>
    </row>
    <row r="21" spans="1:34" ht="15" x14ac:dyDescent="0.55000000000000004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34" x14ac:dyDescent="0.55000000000000004">
      <c r="A22"/>
    </row>
    <row r="23" spans="1:34" ht="15" customHeight="1" x14ac:dyDescent="0.55000000000000004">
      <c r="A23"/>
      <c r="B23" s="295" t="s">
        <v>436</v>
      </c>
      <c r="N23" s="44"/>
    </row>
    <row r="24" spans="1:34" ht="15" customHeight="1" x14ac:dyDescent="0.55000000000000004">
      <c r="A2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4" s="10" customFormat="1" ht="62.25" customHeight="1" x14ac:dyDescent="0.55000000000000004">
      <c r="A25"/>
      <c r="B25" s="2">
        <f>IF(B11=0,0, IF(B11=1,2,""))</f>
        <v>0</v>
      </c>
      <c r="C25" s="2">
        <f>IF(C11=0,0, IF(C11=1,1,""))</f>
        <v>0</v>
      </c>
      <c r="D25" s="2">
        <f>IF(D11=0,0, IF(D11=1,4,""))</f>
        <v>4</v>
      </c>
      <c r="E25" s="2">
        <f>IF(E11=0,0, IF(E11=1,2,""))</f>
        <v>2</v>
      </c>
      <c r="F25" s="2">
        <f>IF(F11=0,0, IF(F11=1,1,""))</f>
        <v>1</v>
      </c>
      <c r="G25" s="2">
        <f>IF(G11=0,0, IF(G11=1,4,""))</f>
        <v>4</v>
      </c>
      <c r="H25" s="2">
        <f>IF(H11=0,0, IF(H11=1,2,""))</f>
        <v>2</v>
      </c>
      <c r="I25" s="2">
        <f>IF(I11=0,0, IF(I11=1,1,""))</f>
        <v>0</v>
      </c>
      <c r="J25" s="59">
        <f t="shared" ref="J25:AC25" si="11">IF(ISBLANK(J12),"",IF(J11=1,J12,0))</f>
        <v>0</v>
      </c>
      <c r="K25" s="59">
        <f t="shared" si="11"/>
        <v>0</v>
      </c>
      <c r="L25" s="59">
        <f t="shared" si="11"/>
        <v>0</v>
      </c>
      <c r="M25" s="59">
        <f t="shared" si="11"/>
        <v>0</v>
      </c>
      <c r="N25" s="59">
        <f t="shared" si="11"/>
        <v>0</v>
      </c>
      <c r="O25" s="59">
        <f t="shared" si="11"/>
        <v>4</v>
      </c>
      <c r="P25" s="59">
        <f t="shared" si="11"/>
        <v>8</v>
      </c>
      <c r="Q25" s="59">
        <f t="shared" si="11"/>
        <v>0</v>
      </c>
      <c r="R25" s="59">
        <f t="shared" si="11"/>
        <v>32</v>
      </c>
      <c r="S25" s="59">
        <f t="shared" si="11"/>
        <v>0</v>
      </c>
      <c r="T25" s="59">
        <f t="shared" si="11"/>
        <v>128</v>
      </c>
      <c r="U25" s="59">
        <f t="shared" si="11"/>
        <v>0</v>
      </c>
      <c r="V25" s="59">
        <f t="shared" si="11"/>
        <v>512</v>
      </c>
      <c r="W25" s="59">
        <f t="shared" si="11"/>
        <v>0</v>
      </c>
      <c r="X25" s="59">
        <f t="shared" si="11"/>
        <v>2048</v>
      </c>
      <c r="Y25" s="59">
        <f t="shared" si="11"/>
        <v>0</v>
      </c>
      <c r="Z25" s="59">
        <f t="shared" si="11"/>
        <v>8192</v>
      </c>
      <c r="AA25" s="59">
        <f t="shared" si="11"/>
        <v>0</v>
      </c>
      <c r="AB25" s="59">
        <f t="shared" si="11"/>
        <v>32768</v>
      </c>
      <c r="AC25" s="59">
        <f t="shared" si="11"/>
        <v>0</v>
      </c>
      <c r="AD25" s="59">
        <f>SUM(J25:AC25)</f>
        <v>43692</v>
      </c>
    </row>
    <row r="26" spans="1:34" s="2" customFormat="1" ht="49.5" customHeight="1" x14ac:dyDescent="0.55000000000000004">
      <c r="D26" s="18"/>
      <c r="J26" s="18">
        <f>IF(J11=1,2^0,0)</f>
        <v>0</v>
      </c>
      <c r="K26" s="18">
        <f>IF(K11=1,2^1,0)</f>
        <v>0</v>
      </c>
      <c r="L26" s="18">
        <f>IF(L11=1,2^2,0)</f>
        <v>0</v>
      </c>
      <c r="M26" s="18">
        <f>IF(M11=1,2^3,0)</f>
        <v>0</v>
      </c>
      <c r="N26" s="18">
        <f>IF(N11=1,2^4,0)</f>
        <v>0</v>
      </c>
      <c r="O26" s="18">
        <f>IF(O11=1,2^5,0)</f>
        <v>32</v>
      </c>
      <c r="P26" s="18">
        <f>IF(P11=1,2^6,0)</f>
        <v>64</v>
      </c>
      <c r="Q26" s="18">
        <f>IF(Q11=1,2^7,0)</f>
        <v>0</v>
      </c>
      <c r="R26" s="18">
        <f>IF(R11=1,2^8,0)</f>
        <v>256</v>
      </c>
      <c r="S26" s="18">
        <f>IF(S11=1,2^9,0)</f>
        <v>0</v>
      </c>
      <c r="T26" s="18">
        <f>IF(T11=1,2^10,0)</f>
        <v>1024</v>
      </c>
      <c r="U26" s="18">
        <f>IF(U11=1,2^11,0)</f>
        <v>0</v>
      </c>
      <c r="V26" s="18">
        <f>IF(V11=1,2^12,0)</f>
        <v>4096</v>
      </c>
      <c r="W26" s="18">
        <f>IF(W11=1,2^13,0)</f>
        <v>0</v>
      </c>
      <c r="X26" s="18">
        <f>IF(X11=1,2^14,0)</f>
        <v>16384</v>
      </c>
      <c r="Y26" s="18">
        <f>IF(Y11=1,2^15,0)</f>
        <v>0</v>
      </c>
      <c r="Z26" s="18">
        <f>IF(Z11=1,2^16,0)</f>
        <v>65536</v>
      </c>
      <c r="AA26" s="18">
        <f>IF(AA11=1,2^17,0)</f>
        <v>0</v>
      </c>
      <c r="AB26" s="18">
        <f>IF(AB11=1,2^18,0)</f>
        <v>262144</v>
      </c>
      <c r="AC26" s="18">
        <f>IF(AC11=1,2^19,0)</f>
        <v>0</v>
      </c>
      <c r="AD26" s="18">
        <f>2^20-SUM(J26:AC26)</f>
        <v>699040</v>
      </c>
      <c r="AF26" s="18"/>
      <c r="AG26" s="18"/>
      <c r="AH26" s="18"/>
    </row>
    <row r="27" spans="1:34" s="51" customFormat="1" ht="40.5" customHeight="1" x14ac:dyDescent="0.55000000000000004">
      <c r="J27" s="51">
        <f>INT(AD26/2)</f>
        <v>349520</v>
      </c>
      <c r="K27" s="51">
        <f>INT(J27/2)</f>
        <v>174760</v>
      </c>
      <c r="L27" s="51">
        <f t="shared" ref="L27:AC27" si="12">INT(K27/2)</f>
        <v>87380</v>
      </c>
      <c r="M27" s="51">
        <f t="shared" si="12"/>
        <v>43690</v>
      </c>
      <c r="N27" s="51">
        <f t="shared" si="12"/>
        <v>21845</v>
      </c>
      <c r="O27" s="51">
        <f t="shared" si="12"/>
        <v>10922</v>
      </c>
      <c r="P27" s="51">
        <f t="shared" si="12"/>
        <v>5461</v>
      </c>
      <c r="Q27" s="51">
        <f t="shared" si="12"/>
        <v>2730</v>
      </c>
      <c r="R27" s="51">
        <f t="shared" si="12"/>
        <v>1365</v>
      </c>
      <c r="S27" s="51">
        <f t="shared" si="12"/>
        <v>682</v>
      </c>
      <c r="T27" s="51">
        <f t="shared" si="12"/>
        <v>341</v>
      </c>
      <c r="U27" s="51">
        <f t="shared" si="12"/>
        <v>170</v>
      </c>
      <c r="V27" s="51">
        <f t="shared" si="12"/>
        <v>85</v>
      </c>
      <c r="W27" s="51">
        <f t="shared" si="12"/>
        <v>42</v>
      </c>
      <c r="X27" s="51">
        <f t="shared" si="12"/>
        <v>21</v>
      </c>
      <c r="Y27" s="51">
        <f t="shared" si="12"/>
        <v>10</v>
      </c>
      <c r="Z27" s="51">
        <f t="shared" si="12"/>
        <v>5</v>
      </c>
      <c r="AA27" s="51">
        <f t="shared" si="12"/>
        <v>2</v>
      </c>
      <c r="AB27" s="51">
        <f t="shared" si="12"/>
        <v>1</v>
      </c>
      <c r="AC27" s="51">
        <f t="shared" si="12"/>
        <v>0</v>
      </c>
    </row>
    <row r="28" spans="1:34" s="10" customFormat="1" ht="15.75" customHeight="1" x14ac:dyDescent="0.55000000000000004">
      <c r="J28" s="52">
        <f>MOD(AD26,2)</f>
        <v>0</v>
      </c>
      <c r="K28" s="52">
        <f>MOD(J27,2)</f>
        <v>0</v>
      </c>
      <c r="L28" s="52">
        <f t="shared" ref="L28:AC28" si="13">MOD(K27,2)</f>
        <v>0</v>
      </c>
      <c r="M28" s="52">
        <f t="shared" si="13"/>
        <v>0</v>
      </c>
      <c r="N28" s="52">
        <f t="shared" si="13"/>
        <v>0</v>
      </c>
      <c r="O28" s="52">
        <f t="shared" si="13"/>
        <v>1</v>
      </c>
      <c r="P28" s="52">
        <f t="shared" si="13"/>
        <v>0</v>
      </c>
      <c r="Q28" s="52">
        <f t="shared" si="13"/>
        <v>1</v>
      </c>
      <c r="R28" s="52">
        <f t="shared" si="13"/>
        <v>0</v>
      </c>
      <c r="S28" s="52">
        <f t="shared" si="13"/>
        <v>1</v>
      </c>
      <c r="T28" s="52">
        <f t="shared" si="13"/>
        <v>0</v>
      </c>
      <c r="U28" s="52">
        <f t="shared" si="13"/>
        <v>1</v>
      </c>
      <c r="V28" s="52">
        <f t="shared" si="13"/>
        <v>0</v>
      </c>
      <c r="W28" s="52">
        <f t="shared" si="13"/>
        <v>1</v>
      </c>
      <c r="X28" s="52">
        <f t="shared" si="13"/>
        <v>0</v>
      </c>
      <c r="Y28" s="52">
        <f t="shared" si="13"/>
        <v>1</v>
      </c>
      <c r="Z28" s="52">
        <f t="shared" si="13"/>
        <v>0</v>
      </c>
      <c r="AA28" s="52">
        <f t="shared" si="13"/>
        <v>1</v>
      </c>
      <c r="AB28" s="52">
        <f t="shared" si="13"/>
        <v>0</v>
      </c>
      <c r="AC28" s="52">
        <f t="shared" si="13"/>
        <v>1</v>
      </c>
    </row>
    <row r="29" spans="1:34" s="10" customFormat="1" ht="53.25" customHeight="1" x14ac:dyDescent="0.55000000000000004"/>
    <row r="30" spans="1:34" s="10" customFormat="1" ht="15.75" customHeight="1" x14ac:dyDescent="0.55000000000000004"/>
    <row r="31" spans="1:34" x14ac:dyDescent="0.55000000000000004">
      <c r="A31"/>
    </row>
    <row r="32" spans="1:34" x14ac:dyDescent="0.55000000000000004">
      <c r="A32"/>
    </row>
    <row r="33" spans="1:1" x14ac:dyDescent="0.55000000000000004">
      <c r="A33"/>
    </row>
    <row r="34" spans="1:1" x14ac:dyDescent="0.55000000000000004">
      <c r="A34"/>
    </row>
    <row r="35" spans="1:1" x14ac:dyDescent="0.55000000000000004">
      <c r="A35"/>
    </row>
    <row r="36" spans="1:1" x14ac:dyDescent="0.55000000000000004">
      <c r="A36"/>
    </row>
    <row r="37" spans="1:1" x14ac:dyDescent="0.55000000000000004">
      <c r="A37"/>
    </row>
    <row r="38" spans="1:1" x14ac:dyDescent="0.55000000000000004">
      <c r="A38"/>
    </row>
    <row r="39" spans="1:1" x14ac:dyDescent="0.55000000000000004">
      <c r="A39"/>
    </row>
    <row r="40" spans="1:1" x14ac:dyDescent="0.55000000000000004">
      <c r="A40"/>
    </row>
    <row r="41" spans="1:1" x14ac:dyDescent="0.55000000000000004">
      <c r="A41"/>
    </row>
    <row r="42" spans="1:1" x14ac:dyDescent="0.55000000000000004">
      <c r="A42"/>
    </row>
    <row r="43" spans="1:1" x14ac:dyDescent="0.55000000000000004">
      <c r="A43"/>
    </row>
    <row r="44" spans="1:1" x14ac:dyDescent="0.55000000000000004">
      <c r="A44"/>
    </row>
    <row r="45" spans="1:1" x14ac:dyDescent="0.55000000000000004">
      <c r="A45"/>
    </row>
    <row r="46" spans="1:1" x14ac:dyDescent="0.55000000000000004">
      <c r="A46"/>
    </row>
    <row r="47" spans="1:1" x14ac:dyDescent="0.55000000000000004">
      <c r="A47"/>
    </row>
    <row r="48" spans="1:1" x14ac:dyDescent="0.55000000000000004">
      <c r="A48"/>
    </row>
    <row r="49" spans="1:1" x14ac:dyDescent="0.55000000000000004">
      <c r="A49"/>
    </row>
    <row r="50" spans="1:1" x14ac:dyDescent="0.55000000000000004">
      <c r="A50"/>
    </row>
    <row r="51" spans="1:1" x14ac:dyDescent="0.55000000000000004">
      <c r="A51"/>
    </row>
    <row r="52" spans="1:1" x14ac:dyDescent="0.55000000000000004">
      <c r="A52"/>
    </row>
    <row r="53" spans="1:1" x14ac:dyDescent="0.55000000000000004">
      <c r="A53"/>
    </row>
    <row r="54" spans="1:1" x14ac:dyDescent="0.55000000000000004">
      <c r="A54"/>
    </row>
    <row r="55" spans="1:1" x14ac:dyDescent="0.55000000000000004">
      <c r="A55"/>
    </row>
    <row r="56" spans="1:1" x14ac:dyDescent="0.55000000000000004">
      <c r="A56"/>
    </row>
    <row r="57" spans="1:1" x14ac:dyDescent="0.55000000000000004">
      <c r="A57"/>
    </row>
    <row r="58" spans="1:1" x14ac:dyDescent="0.55000000000000004">
      <c r="A58"/>
    </row>
    <row r="59" spans="1:1" x14ac:dyDescent="0.55000000000000004">
      <c r="A59"/>
    </row>
    <row r="60" spans="1:1" x14ac:dyDescent="0.55000000000000004">
      <c r="A60"/>
    </row>
    <row r="61" spans="1:1" x14ac:dyDescent="0.55000000000000004">
      <c r="A61"/>
    </row>
    <row r="62" spans="1:1" x14ac:dyDescent="0.55000000000000004">
      <c r="A62"/>
    </row>
    <row r="63" spans="1:1" x14ac:dyDescent="0.55000000000000004">
      <c r="A63"/>
    </row>
    <row r="64" spans="1:1" x14ac:dyDescent="0.55000000000000004">
      <c r="A64"/>
    </row>
    <row r="65" spans="1:1" x14ac:dyDescent="0.55000000000000004">
      <c r="A65"/>
    </row>
    <row r="66" spans="1:1" x14ac:dyDescent="0.55000000000000004">
      <c r="A66"/>
    </row>
    <row r="67" spans="1:1" x14ac:dyDescent="0.55000000000000004">
      <c r="A67"/>
    </row>
    <row r="68" spans="1:1" x14ac:dyDescent="0.55000000000000004">
      <c r="A68"/>
    </row>
    <row r="69" spans="1:1" x14ac:dyDescent="0.55000000000000004">
      <c r="A69"/>
    </row>
    <row r="70" spans="1:1" x14ac:dyDescent="0.55000000000000004">
      <c r="A70"/>
    </row>
    <row r="71" spans="1:1" x14ac:dyDescent="0.55000000000000004">
      <c r="A71"/>
    </row>
    <row r="72" spans="1:1" x14ac:dyDescent="0.55000000000000004">
      <c r="A72"/>
    </row>
    <row r="73" spans="1:1" x14ac:dyDescent="0.55000000000000004">
      <c r="A73"/>
    </row>
    <row r="74" spans="1:1" x14ac:dyDescent="0.55000000000000004">
      <c r="A74"/>
    </row>
    <row r="75" spans="1:1" x14ac:dyDescent="0.55000000000000004">
      <c r="A75"/>
    </row>
    <row r="76" spans="1:1" x14ac:dyDescent="0.55000000000000004">
      <c r="A76"/>
    </row>
    <row r="77" spans="1:1" x14ac:dyDescent="0.55000000000000004">
      <c r="A77"/>
    </row>
    <row r="78" spans="1:1" x14ac:dyDescent="0.55000000000000004">
      <c r="A78"/>
    </row>
    <row r="79" spans="1:1" x14ac:dyDescent="0.55000000000000004">
      <c r="A79"/>
    </row>
    <row r="80" spans="1:1" x14ac:dyDescent="0.55000000000000004">
      <c r="A80"/>
    </row>
    <row r="81" spans="1:1" x14ac:dyDescent="0.55000000000000004">
      <c r="A81"/>
    </row>
    <row r="82" spans="1:1" x14ac:dyDescent="0.55000000000000004">
      <c r="A82"/>
    </row>
    <row r="83" spans="1:1" x14ac:dyDescent="0.55000000000000004">
      <c r="A83"/>
    </row>
    <row r="84" spans="1:1" x14ac:dyDescent="0.55000000000000004">
      <c r="A84"/>
    </row>
    <row r="85" spans="1:1" x14ac:dyDescent="0.55000000000000004">
      <c r="A85"/>
    </row>
    <row r="86" spans="1:1" x14ac:dyDescent="0.55000000000000004">
      <c r="A86"/>
    </row>
    <row r="87" spans="1:1" x14ac:dyDescent="0.55000000000000004">
      <c r="A87"/>
    </row>
    <row r="88" spans="1:1" x14ac:dyDescent="0.55000000000000004">
      <c r="A88"/>
    </row>
    <row r="89" spans="1:1" x14ac:dyDescent="0.55000000000000004">
      <c r="A89"/>
    </row>
    <row r="90" spans="1:1" x14ac:dyDescent="0.55000000000000004">
      <c r="A90"/>
    </row>
    <row r="91" spans="1:1" x14ac:dyDescent="0.55000000000000004">
      <c r="A91"/>
    </row>
    <row r="92" spans="1:1" x14ac:dyDescent="0.55000000000000004">
      <c r="A92"/>
    </row>
    <row r="93" spans="1:1" x14ac:dyDescent="0.55000000000000004">
      <c r="A93"/>
    </row>
    <row r="94" spans="1:1" x14ac:dyDescent="0.55000000000000004">
      <c r="A94"/>
    </row>
    <row r="95" spans="1:1" x14ac:dyDescent="0.55000000000000004">
      <c r="A95"/>
    </row>
    <row r="96" spans="1:1" x14ac:dyDescent="0.55000000000000004">
      <c r="A96"/>
    </row>
    <row r="97" spans="1:1" x14ac:dyDescent="0.55000000000000004">
      <c r="A97"/>
    </row>
    <row r="98" spans="1:1" x14ac:dyDescent="0.55000000000000004">
      <c r="A98"/>
    </row>
    <row r="99" spans="1:1" x14ac:dyDescent="0.55000000000000004">
      <c r="A99"/>
    </row>
    <row r="100" spans="1:1" x14ac:dyDescent="0.55000000000000004">
      <c r="A100"/>
    </row>
    <row r="101" spans="1:1" x14ac:dyDescent="0.55000000000000004">
      <c r="A101"/>
    </row>
    <row r="102" spans="1:1" x14ac:dyDescent="0.55000000000000004">
      <c r="A102"/>
    </row>
    <row r="103" spans="1:1" x14ac:dyDescent="0.55000000000000004">
      <c r="A103"/>
    </row>
    <row r="104" spans="1:1" x14ac:dyDescent="0.55000000000000004">
      <c r="A104"/>
    </row>
    <row r="105" spans="1:1" x14ac:dyDescent="0.55000000000000004">
      <c r="A105"/>
    </row>
    <row r="106" spans="1:1" x14ac:dyDescent="0.55000000000000004">
      <c r="A106"/>
    </row>
    <row r="107" spans="1:1" x14ac:dyDescent="0.55000000000000004">
      <c r="A107"/>
    </row>
    <row r="108" spans="1:1" x14ac:dyDescent="0.55000000000000004">
      <c r="A108"/>
    </row>
    <row r="109" spans="1:1" x14ac:dyDescent="0.55000000000000004">
      <c r="A109"/>
    </row>
    <row r="110" spans="1:1" x14ac:dyDescent="0.55000000000000004">
      <c r="A110"/>
    </row>
    <row r="111" spans="1:1" x14ac:dyDescent="0.55000000000000004">
      <c r="A111"/>
    </row>
    <row r="112" spans="1:1" x14ac:dyDescent="0.55000000000000004">
      <c r="A112"/>
    </row>
    <row r="113" spans="1:1" x14ac:dyDescent="0.55000000000000004">
      <c r="A113"/>
    </row>
    <row r="114" spans="1:1" x14ac:dyDescent="0.55000000000000004">
      <c r="A114"/>
    </row>
    <row r="115" spans="1:1" x14ac:dyDescent="0.55000000000000004">
      <c r="A115"/>
    </row>
    <row r="116" spans="1:1" x14ac:dyDescent="0.55000000000000004">
      <c r="A116"/>
    </row>
    <row r="117" spans="1:1" x14ac:dyDescent="0.55000000000000004">
      <c r="A117"/>
    </row>
    <row r="118" spans="1:1" x14ac:dyDescent="0.55000000000000004">
      <c r="A118"/>
    </row>
    <row r="119" spans="1:1" x14ac:dyDescent="0.55000000000000004">
      <c r="A119"/>
    </row>
    <row r="120" spans="1:1" x14ac:dyDescent="0.55000000000000004">
      <c r="A120"/>
    </row>
    <row r="121" spans="1:1" x14ac:dyDescent="0.55000000000000004">
      <c r="A121"/>
    </row>
    <row r="122" spans="1:1" x14ac:dyDescent="0.55000000000000004">
      <c r="A122"/>
    </row>
    <row r="123" spans="1:1" x14ac:dyDescent="0.55000000000000004">
      <c r="A123"/>
    </row>
    <row r="124" spans="1:1" x14ac:dyDescent="0.55000000000000004">
      <c r="A124"/>
    </row>
    <row r="125" spans="1:1" x14ac:dyDescent="0.55000000000000004">
      <c r="A125"/>
    </row>
    <row r="126" spans="1:1" x14ac:dyDescent="0.55000000000000004">
      <c r="A126"/>
    </row>
    <row r="127" spans="1:1" x14ac:dyDescent="0.55000000000000004">
      <c r="A127"/>
    </row>
    <row r="128" spans="1:1" x14ac:dyDescent="0.55000000000000004">
      <c r="A128"/>
    </row>
    <row r="129" spans="1:1" x14ac:dyDescent="0.55000000000000004">
      <c r="A129"/>
    </row>
    <row r="130" spans="1:1" x14ac:dyDescent="0.55000000000000004">
      <c r="A130"/>
    </row>
    <row r="131" spans="1:1" x14ac:dyDescent="0.55000000000000004">
      <c r="A131"/>
    </row>
    <row r="132" spans="1:1" x14ac:dyDescent="0.55000000000000004">
      <c r="A132"/>
    </row>
    <row r="133" spans="1:1" x14ac:dyDescent="0.55000000000000004">
      <c r="A133"/>
    </row>
    <row r="134" spans="1:1" x14ac:dyDescent="0.55000000000000004">
      <c r="A134"/>
    </row>
    <row r="135" spans="1:1" x14ac:dyDescent="0.55000000000000004">
      <c r="A135"/>
    </row>
    <row r="136" spans="1:1" x14ac:dyDescent="0.55000000000000004">
      <c r="A136"/>
    </row>
    <row r="137" spans="1:1" x14ac:dyDescent="0.55000000000000004">
      <c r="A137"/>
    </row>
    <row r="138" spans="1:1" x14ac:dyDescent="0.55000000000000004">
      <c r="A138"/>
    </row>
    <row r="139" spans="1:1" x14ac:dyDescent="0.55000000000000004">
      <c r="A139"/>
    </row>
    <row r="140" spans="1:1" x14ac:dyDescent="0.55000000000000004">
      <c r="A140"/>
    </row>
    <row r="141" spans="1:1" x14ac:dyDescent="0.55000000000000004">
      <c r="A141"/>
    </row>
    <row r="142" spans="1:1" x14ac:dyDescent="0.55000000000000004">
      <c r="A142"/>
    </row>
    <row r="143" spans="1:1" x14ac:dyDescent="0.55000000000000004">
      <c r="A143"/>
    </row>
    <row r="144" spans="1:1" x14ac:dyDescent="0.55000000000000004">
      <c r="A144"/>
    </row>
    <row r="145" spans="1:1" x14ac:dyDescent="0.55000000000000004">
      <c r="A145"/>
    </row>
    <row r="146" spans="1:1" x14ac:dyDescent="0.55000000000000004">
      <c r="A146"/>
    </row>
    <row r="147" spans="1:1" x14ac:dyDescent="0.55000000000000004">
      <c r="A147"/>
    </row>
    <row r="148" spans="1:1" x14ac:dyDescent="0.55000000000000004">
      <c r="A148"/>
    </row>
    <row r="149" spans="1:1" x14ac:dyDescent="0.55000000000000004">
      <c r="A149"/>
    </row>
    <row r="150" spans="1:1" x14ac:dyDescent="0.55000000000000004">
      <c r="A150"/>
    </row>
    <row r="151" spans="1:1" x14ac:dyDescent="0.55000000000000004">
      <c r="A151"/>
    </row>
    <row r="152" spans="1:1" x14ac:dyDescent="0.55000000000000004">
      <c r="A152"/>
    </row>
    <row r="153" spans="1:1" x14ac:dyDescent="0.55000000000000004">
      <c r="A153"/>
    </row>
    <row r="154" spans="1:1" x14ac:dyDescent="0.55000000000000004">
      <c r="A154"/>
    </row>
    <row r="155" spans="1:1" x14ac:dyDescent="0.55000000000000004">
      <c r="A155"/>
    </row>
    <row r="156" spans="1:1" x14ac:dyDescent="0.55000000000000004">
      <c r="A156"/>
    </row>
    <row r="157" spans="1:1" x14ac:dyDescent="0.55000000000000004">
      <c r="A157"/>
    </row>
    <row r="158" spans="1:1" x14ac:dyDescent="0.55000000000000004">
      <c r="A158"/>
    </row>
    <row r="159" spans="1:1" x14ac:dyDescent="0.55000000000000004">
      <c r="A159"/>
    </row>
    <row r="160" spans="1:1" x14ac:dyDescent="0.55000000000000004">
      <c r="A160"/>
    </row>
    <row r="161" spans="1:1" x14ac:dyDescent="0.55000000000000004">
      <c r="A161"/>
    </row>
    <row r="162" spans="1:1" x14ac:dyDescent="0.55000000000000004">
      <c r="A162"/>
    </row>
    <row r="163" spans="1:1" x14ac:dyDescent="0.55000000000000004">
      <c r="A163"/>
    </row>
    <row r="164" spans="1:1" x14ac:dyDescent="0.55000000000000004">
      <c r="A164"/>
    </row>
    <row r="165" spans="1:1" x14ac:dyDescent="0.55000000000000004">
      <c r="A165"/>
    </row>
    <row r="166" spans="1:1" x14ac:dyDescent="0.55000000000000004">
      <c r="A166"/>
    </row>
    <row r="167" spans="1:1" x14ac:dyDescent="0.55000000000000004">
      <c r="A167"/>
    </row>
    <row r="168" spans="1:1" x14ac:dyDescent="0.55000000000000004">
      <c r="A168"/>
    </row>
    <row r="169" spans="1:1" x14ac:dyDescent="0.55000000000000004">
      <c r="A169"/>
    </row>
    <row r="170" spans="1:1" x14ac:dyDescent="0.55000000000000004">
      <c r="A170"/>
    </row>
    <row r="171" spans="1:1" x14ac:dyDescent="0.55000000000000004">
      <c r="A171"/>
    </row>
    <row r="172" spans="1:1" x14ac:dyDescent="0.55000000000000004">
      <c r="A172"/>
    </row>
    <row r="173" spans="1:1" x14ac:dyDescent="0.55000000000000004">
      <c r="A173"/>
    </row>
    <row r="174" spans="1:1" x14ac:dyDescent="0.55000000000000004">
      <c r="A174"/>
    </row>
    <row r="175" spans="1:1" x14ac:dyDescent="0.55000000000000004">
      <c r="A175"/>
    </row>
    <row r="176" spans="1:1" x14ac:dyDescent="0.55000000000000004">
      <c r="A176"/>
    </row>
    <row r="177" spans="1:8" x14ac:dyDescent="0.55000000000000004">
      <c r="A177"/>
    </row>
    <row r="178" spans="1:8" x14ac:dyDescent="0.55000000000000004">
      <c r="A178"/>
    </row>
    <row r="179" spans="1:8" x14ac:dyDescent="0.55000000000000004">
      <c r="A179"/>
    </row>
    <row r="180" spans="1:8" x14ac:dyDescent="0.55000000000000004">
      <c r="A180"/>
    </row>
    <row r="181" spans="1:8" x14ac:dyDescent="0.55000000000000004">
      <c r="A181"/>
    </row>
    <row r="182" spans="1:8" x14ac:dyDescent="0.55000000000000004">
      <c r="A182"/>
    </row>
    <row r="183" spans="1:8" x14ac:dyDescent="0.55000000000000004">
      <c r="A183"/>
    </row>
    <row r="184" spans="1:8" x14ac:dyDescent="0.55000000000000004">
      <c r="A184"/>
    </row>
    <row r="185" spans="1:8" x14ac:dyDescent="0.55000000000000004">
      <c r="A185"/>
    </row>
    <row r="186" spans="1:8" x14ac:dyDescent="0.55000000000000004">
      <c r="A186"/>
    </row>
    <row r="187" spans="1:8" x14ac:dyDescent="0.55000000000000004">
      <c r="A187"/>
    </row>
    <row r="188" spans="1:8" x14ac:dyDescent="0.55000000000000004">
      <c r="A188"/>
    </row>
    <row r="189" spans="1:8" x14ac:dyDescent="0.55000000000000004">
      <c r="A189"/>
    </row>
    <row r="190" spans="1:8" x14ac:dyDescent="0.55000000000000004">
      <c r="A190"/>
    </row>
    <row r="191" spans="1:8" x14ac:dyDescent="0.55000000000000004">
      <c r="A191"/>
    </row>
    <row r="192" spans="1:8" ht="15.3" x14ac:dyDescent="0.55000000000000004">
      <c r="A192" s="64"/>
      <c r="B192" s="1"/>
      <c r="C192" s="1"/>
      <c r="D192" s="1"/>
      <c r="E192" s="1"/>
      <c r="F192" s="1"/>
      <c r="G192" s="1"/>
      <c r="H192" s="1"/>
    </row>
    <row r="193" spans="1:8" ht="15.3" x14ac:dyDescent="0.55000000000000004">
      <c r="A193" s="64"/>
      <c r="B193" s="1"/>
      <c r="C193" s="1"/>
      <c r="D193" s="1"/>
      <c r="E193" s="1"/>
      <c r="F193" s="1"/>
      <c r="G193" s="1"/>
      <c r="H193" s="1"/>
    </row>
    <row r="194" spans="1:8" ht="15.3" x14ac:dyDescent="0.55000000000000004">
      <c r="A194" s="64"/>
      <c r="B194" s="1"/>
      <c r="C194" s="1"/>
      <c r="D194" s="1"/>
      <c r="E194" s="1"/>
      <c r="F194" s="1"/>
      <c r="G194" s="1"/>
      <c r="H194" s="1"/>
    </row>
    <row r="195" spans="1:8" ht="15.3" x14ac:dyDescent="0.55000000000000004">
      <c r="A195" s="64"/>
      <c r="B195" s="1"/>
      <c r="C195" s="1"/>
      <c r="D195" s="1"/>
      <c r="E195" s="1"/>
      <c r="F195" s="1"/>
      <c r="G195" s="1"/>
      <c r="H195" s="1"/>
    </row>
    <row r="196" spans="1:8" ht="15.3" x14ac:dyDescent="0.55000000000000004">
      <c r="A196" s="64"/>
      <c r="B196" s="1"/>
      <c r="C196" s="1"/>
      <c r="D196" s="1"/>
      <c r="E196" s="1"/>
      <c r="F196" s="1"/>
      <c r="G196" s="1"/>
      <c r="H196" s="1"/>
    </row>
    <row r="197" spans="1:8" ht="15.3" x14ac:dyDescent="0.55000000000000004">
      <c r="A197" s="64"/>
      <c r="B197" s="1"/>
      <c r="C197" s="1"/>
      <c r="D197" s="1"/>
      <c r="E197" s="1"/>
      <c r="F197" s="1"/>
      <c r="G197" s="1"/>
      <c r="H197" s="1"/>
    </row>
    <row r="198" spans="1:8" ht="15.3" x14ac:dyDescent="0.55000000000000004">
      <c r="A198" s="64"/>
      <c r="B198" s="1"/>
      <c r="C198" s="1"/>
      <c r="D198" s="1"/>
      <c r="E198" s="1"/>
      <c r="F198" s="1"/>
      <c r="G198" s="1"/>
      <c r="H198" s="1"/>
    </row>
    <row r="199" spans="1:8" ht="15.3" x14ac:dyDescent="0.55000000000000004">
      <c r="A199" s="64"/>
      <c r="B199" s="1"/>
      <c r="C199" s="1"/>
      <c r="D199" s="1"/>
      <c r="E199" s="1"/>
      <c r="F199" s="1"/>
      <c r="G199" s="1"/>
      <c r="H199" s="1"/>
    </row>
    <row r="200" spans="1:8" ht="15.3" x14ac:dyDescent="0.55000000000000004">
      <c r="A200" s="64"/>
      <c r="B200" s="1"/>
      <c r="C200" s="1"/>
      <c r="D200" s="1"/>
      <c r="E200" s="1"/>
      <c r="F200" s="1"/>
      <c r="G200" s="1"/>
      <c r="H200" s="1"/>
    </row>
    <row r="201" spans="1:8" ht="15.3" x14ac:dyDescent="0.55000000000000004">
      <c r="A201" s="64"/>
      <c r="B201" s="1"/>
      <c r="C201" s="1"/>
      <c r="D201" s="1"/>
      <c r="E201" s="1"/>
      <c r="F201" s="1"/>
      <c r="G201" s="1"/>
      <c r="H201" s="1"/>
    </row>
    <row r="202" spans="1:8" ht="15.3" x14ac:dyDescent="0.55000000000000004">
      <c r="A202" s="64"/>
      <c r="B202" s="1"/>
      <c r="C202" s="1"/>
      <c r="D202" s="1"/>
      <c r="E202" s="1"/>
      <c r="F202" s="1"/>
      <c r="G202" s="1"/>
      <c r="H202" s="1"/>
    </row>
    <row r="203" spans="1:8" ht="15.3" x14ac:dyDescent="0.55000000000000004">
      <c r="A203" s="64"/>
      <c r="B203" s="1"/>
      <c r="C203" s="1"/>
      <c r="D203" s="1"/>
      <c r="E203" s="1"/>
      <c r="F203" s="1"/>
      <c r="G203" s="1"/>
      <c r="H203" s="1"/>
    </row>
    <row r="204" spans="1:8" ht="15.3" x14ac:dyDescent="0.55000000000000004">
      <c r="A204" s="64"/>
      <c r="B204" s="1"/>
      <c r="C204" s="1"/>
      <c r="D204" s="1"/>
      <c r="E204" s="1"/>
      <c r="F204" s="1"/>
      <c r="G204" s="1"/>
      <c r="H204" s="1"/>
    </row>
    <row r="205" spans="1:8" ht="15.3" x14ac:dyDescent="0.55000000000000004">
      <c r="A205" s="64"/>
      <c r="B205" s="1"/>
      <c r="C205" s="1"/>
      <c r="D205" s="1"/>
      <c r="E205" s="1"/>
      <c r="F205" s="1"/>
      <c r="G205" s="1"/>
      <c r="H205" s="1"/>
    </row>
    <row r="206" spans="1:8" ht="15.3" x14ac:dyDescent="0.55000000000000004">
      <c r="A206" s="64"/>
      <c r="B206" s="1"/>
      <c r="C206" s="1"/>
      <c r="D206" s="1"/>
      <c r="E206" s="1"/>
      <c r="F206" s="1"/>
      <c r="G206" s="1"/>
      <c r="H206" s="1"/>
    </row>
    <row r="207" spans="1:8" ht="15.3" x14ac:dyDescent="0.55000000000000004">
      <c r="A207" s="64"/>
      <c r="B207" s="1"/>
      <c r="C207" s="1"/>
      <c r="D207" s="1"/>
      <c r="E207" s="1"/>
      <c r="F207" s="1"/>
      <c r="G207" s="1"/>
      <c r="H207" s="1"/>
    </row>
    <row r="208" spans="1:8" ht="15.3" x14ac:dyDescent="0.55000000000000004">
      <c r="A208" s="64"/>
      <c r="B208" s="1"/>
      <c r="C208" s="1"/>
      <c r="D208" s="1"/>
      <c r="E208" s="1"/>
      <c r="F208" s="1"/>
      <c r="G208" s="1"/>
      <c r="H208" s="1"/>
    </row>
    <row r="209" spans="1:8" ht="15.3" x14ac:dyDescent="0.55000000000000004">
      <c r="A209" s="64"/>
      <c r="B209" s="1"/>
      <c r="C209" s="1"/>
      <c r="D209" s="1"/>
      <c r="E209" s="1"/>
      <c r="F209" s="1"/>
      <c r="G209" s="1"/>
      <c r="H209" s="1"/>
    </row>
    <row r="210" spans="1:8" ht="15.3" x14ac:dyDescent="0.55000000000000004">
      <c r="A210" s="64"/>
      <c r="B210" s="1"/>
      <c r="C210" s="1"/>
      <c r="D210" s="1"/>
      <c r="E210" s="1"/>
      <c r="F210" s="1"/>
      <c r="G210" s="1"/>
      <c r="H210" s="1"/>
    </row>
    <row r="211" spans="1:8" ht="15.3" x14ac:dyDescent="0.55000000000000004">
      <c r="A211" s="64"/>
      <c r="B211" s="1"/>
      <c r="C211" s="1"/>
      <c r="D211" s="1"/>
      <c r="E211" s="1"/>
      <c r="F211" s="1"/>
      <c r="G211" s="1"/>
      <c r="H211" s="1"/>
    </row>
    <row r="212" spans="1:8" ht="15.3" x14ac:dyDescent="0.55000000000000004">
      <c r="A212" s="64"/>
      <c r="B212" s="1"/>
      <c r="C212" s="1"/>
      <c r="D212" s="1"/>
      <c r="E212" s="1"/>
      <c r="F212" s="1"/>
      <c r="G212" s="1"/>
      <c r="H212" s="1"/>
    </row>
    <row r="213" spans="1:8" ht="15.3" x14ac:dyDescent="0.55000000000000004">
      <c r="A213" s="64"/>
      <c r="B213" s="1"/>
      <c r="C213" s="1"/>
      <c r="D213" s="1"/>
      <c r="E213" s="1"/>
      <c r="F213" s="1"/>
      <c r="G213" s="1"/>
      <c r="H213" s="1"/>
    </row>
    <row r="214" spans="1:8" ht="15.3" x14ac:dyDescent="0.55000000000000004">
      <c r="A214" s="64"/>
      <c r="B214" s="1"/>
      <c r="C214" s="1"/>
      <c r="D214" s="1"/>
      <c r="E214" s="1"/>
      <c r="F214" s="1"/>
      <c r="G214" s="1"/>
      <c r="H214" s="1"/>
    </row>
    <row r="215" spans="1:8" ht="15.3" x14ac:dyDescent="0.55000000000000004">
      <c r="A215" s="64"/>
      <c r="B215" s="1"/>
      <c r="C215" s="1"/>
      <c r="D215" s="1"/>
      <c r="E215" s="1"/>
      <c r="F215" s="1"/>
      <c r="G215" s="1"/>
      <c r="H215" s="1"/>
    </row>
    <row r="216" spans="1:8" ht="15.3" x14ac:dyDescent="0.55000000000000004">
      <c r="A216" s="64"/>
      <c r="B216" s="1"/>
      <c r="C216" s="1"/>
      <c r="D216" s="1"/>
      <c r="E216" s="1"/>
      <c r="F216" s="1"/>
      <c r="G216" s="1"/>
      <c r="H216" s="1"/>
    </row>
    <row r="217" spans="1:8" ht="15.3" x14ac:dyDescent="0.55000000000000004">
      <c r="A217" s="64"/>
      <c r="B217" s="1"/>
      <c r="C217" s="1"/>
      <c r="D217" s="1"/>
      <c r="E217" s="1"/>
      <c r="F217" s="1"/>
      <c r="G217" s="1"/>
      <c r="H217" s="1"/>
    </row>
    <row r="218" spans="1:8" ht="15.3" x14ac:dyDescent="0.55000000000000004">
      <c r="A218" s="64"/>
      <c r="B218" s="1"/>
      <c r="C218" s="1"/>
      <c r="D218" s="1"/>
      <c r="E218" s="1"/>
      <c r="F218" s="1"/>
      <c r="G218" s="1"/>
      <c r="H218" s="1"/>
    </row>
    <row r="219" spans="1:8" ht="15.3" x14ac:dyDescent="0.55000000000000004">
      <c r="A219" s="64"/>
      <c r="B219" s="1"/>
      <c r="C219" s="1"/>
      <c r="D219" s="1"/>
      <c r="E219" s="1"/>
      <c r="F219" s="1"/>
      <c r="G219" s="1"/>
      <c r="H219" s="1"/>
    </row>
    <row r="220" spans="1:8" ht="15.3" x14ac:dyDescent="0.55000000000000004">
      <c r="A220" s="64"/>
      <c r="B220" s="1"/>
      <c r="C220" s="1"/>
      <c r="D220" s="1"/>
      <c r="E220" s="1"/>
      <c r="F220" s="1"/>
      <c r="G220" s="1"/>
      <c r="H220" s="1"/>
    </row>
    <row r="221" spans="1:8" ht="15.3" x14ac:dyDescent="0.55000000000000004">
      <c r="A221" s="64"/>
      <c r="B221" s="1"/>
      <c r="C221" s="1"/>
      <c r="D221" s="1"/>
      <c r="E221" s="1"/>
      <c r="F221" s="1"/>
      <c r="G221" s="1"/>
      <c r="H221" s="1"/>
    </row>
    <row r="222" spans="1:8" ht="15.3" x14ac:dyDescent="0.55000000000000004">
      <c r="A222" s="64"/>
      <c r="B222" s="1"/>
      <c r="C222" s="1"/>
      <c r="D222" s="1"/>
      <c r="E222" s="1"/>
      <c r="F222" s="1"/>
      <c r="G222" s="1"/>
      <c r="H222" s="1"/>
    </row>
    <row r="223" spans="1:8" ht="15.3" x14ac:dyDescent="0.55000000000000004">
      <c r="A223" s="64"/>
      <c r="B223" s="1"/>
      <c r="C223" s="1"/>
      <c r="D223" s="1"/>
      <c r="E223" s="1"/>
      <c r="F223" s="1"/>
      <c r="G223" s="1"/>
      <c r="H223" s="1"/>
    </row>
    <row r="224" spans="1:8" ht="15.3" x14ac:dyDescent="0.55000000000000004">
      <c r="A224" s="64"/>
      <c r="B224" s="1"/>
      <c r="C224" s="1"/>
      <c r="D224" s="1"/>
      <c r="E224" s="1"/>
      <c r="F224" s="1"/>
      <c r="G224" s="1"/>
      <c r="H224" s="1"/>
    </row>
    <row r="225" spans="1:8" ht="15.3" x14ac:dyDescent="0.55000000000000004">
      <c r="A225" s="64"/>
      <c r="B225" s="1"/>
      <c r="C225" s="1"/>
      <c r="D225" s="1"/>
      <c r="E225" s="1"/>
      <c r="F225" s="1"/>
      <c r="G225" s="1"/>
      <c r="H225" s="1"/>
    </row>
    <row r="226" spans="1:8" ht="15.3" x14ac:dyDescent="0.55000000000000004">
      <c r="A226" s="64"/>
      <c r="B226" s="1"/>
      <c r="C226" s="1"/>
      <c r="D226" s="1"/>
      <c r="E226" s="1"/>
      <c r="F226" s="1"/>
      <c r="G226" s="1"/>
      <c r="H226" s="1"/>
    </row>
    <row r="227" spans="1:8" ht="15.3" x14ac:dyDescent="0.55000000000000004">
      <c r="A227" s="64"/>
      <c r="B227" s="1"/>
      <c r="C227" s="1"/>
      <c r="D227" s="1"/>
      <c r="E227" s="1"/>
      <c r="F227" s="1"/>
      <c r="G227" s="1"/>
      <c r="H227" s="1"/>
    </row>
    <row r="228" spans="1:8" ht="15.3" x14ac:dyDescent="0.55000000000000004">
      <c r="A228" s="64"/>
      <c r="B228" s="1"/>
      <c r="C228" s="1"/>
      <c r="D228" s="1"/>
      <c r="E228" s="1"/>
      <c r="F228" s="1"/>
      <c r="G228" s="1"/>
      <c r="H228" s="1"/>
    </row>
    <row r="229" spans="1:8" ht="15.3" x14ac:dyDescent="0.55000000000000004">
      <c r="A229" s="64"/>
      <c r="B229" s="1"/>
      <c r="C229" s="1"/>
      <c r="D229" s="1"/>
      <c r="E229" s="1"/>
      <c r="F229" s="1"/>
      <c r="G229" s="1"/>
      <c r="H229" s="1"/>
    </row>
    <row r="230" spans="1:8" ht="15.3" x14ac:dyDescent="0.55000000000000004">
      <c r="A230" s="64"/>
      <c r="B230" s="1"/>
      <c r="C230" s="1"/>
      <c r="D230" s="1"/>
      <c r="E230" s="1"/>
      <c r="F230" s="1"/>
      <c r="G230" s="1"/>
      <c r="H230" s="1"/>
    </row>
    <row r="231" spans="1:8" ht="15.3" x14ac:dyDescent="0.55000000000000004">
      <c r="A231" s="64"/>
      <c r="B231" s="1"/>
      <c r="C231" s="1"/>
      <c r="D231" s="1"/>
      <c r="E231" s="1"/>
      <c r="F231" s="1"/>
      <c r="G231" s="1"/>
      <c r="H231" s="1"/>
    </row>
    <row r="232" spans="1:8" ht="15.3" x14ac:dyDescent="0.55000000000000004">
      <c r="A232" s="64"/>
      <c r="B232" s="1"/>
      <c r="C232" s="1"/>
      <c r="D232" s="1"/>
      <c r="E232" s="1"/>
      <c r="F232" s="1"/>
      <c r="G232" s="1"/>
      <c r="H232" s="1"/>
    </row>
    <row r="233" spans="1:8" ht="15.3" x14ac:dyDescent="0.55000000000000004">
      <c r="A233" s="64"/>
      <c r="B233" s="1"/>
      <c r="C233" s="1"/>
      <c r="D233" s="1"/>
      <c r="E233" s="1"/>
      <c r="F233" s="1"/>
      <c r="G233" s="1"/>
      <c r="H233" s="1"/>
    </row>
    <row r="234" spans="1:8" ht="15.3" x14ac:dyDescent="0.55000000000000004">
      <c r="A234" s="64"/>
      <c r="B234" s="1"/>
      <c r="C234" s="1"/>
      <c r="D234" s="1"/>
      <c r="E234" s="1"/>
      <c r="F234" s="1"/>
      <c r="G234" s="1"/>
      <c r="H234" s="1"/>
    </row>
    <row r="235" spans="1:8" ht="15.3" x14ac:dyDescent="0.55000000000000004">
      <c r="A235" s="64"/>
      <c r="B235" s="1"/>
      <c r="C235" s="1"/>
      <c r="D235" s="1"/>
      <c r="E235" s="1"/>
      <c r="F235" s="1"/>
      <c r="G235" s="1"/>
      <c r="H235" s="1"/>
    </row>
    <row r="236" spans="1:8" ht="15.3" x14ac:dyDescent="0.55000000000000004">
      <c r="A236" s="64"/>
      <c r="B236" s="1"/>
      <c r="C236" s="1"/>
      <c r="D236" s="1"/>
      <c r="E236" s="1"/>
      <c r="F236" s="1"/>
      <c r="G236" s="1"/>
      <c r="H236" s="1"/>
    </row>
    <row r="237" spans="1:8" ht="15.3" x14ac:dyDescent="0.55000000000000004">
      <c r="A237" s="64"/>
      <c r="B237" s="1"/>
      <c r="C237" s="1"/>
      <c r="D237" s="1"/>
      <c r="E237" s="1"/>
      <c r="F237" s="1"/>
      <c r="G237" s="1"/>
      <c r="H237" s="1"/>
    </row>
    <row r="238" spans="1:8" ht="15.3" x14ac:dyDescent="0.55000000000000004">
      <c r="A238" s="64"/>
      <c r="B238" s="1"/>
      <c r="C238" s="1"/>
      <c r="D238" s="1"/>
      <c r="E238" s="1"/>
      <c r="F238" s="1"/>
      <c r="G238" s="1"/>
      <c r="H238" s="1"/>
    </row>
    <row r="239" spans="1:8" ht="15.3" x14ac:dyDescent="0.55000000000000004">
      <c r="A239" s="64"/>
      <c r="B239" s="1"/>
      <c r="C239" s="1"/>
      <c r="D239" s="1"/>
      <c r="E239" s="1"/>
      <c r="F239" s="1"/>
      <c r="G239" s="1"/>
      <c r="H239" s="1"/>
    </row>
    <row r="240" spans="1:8" ht="15.3" x14ac:dyDescent="0.55000000000000004">
      <c r="A240" s="64"/>
      <c r="B240" s="1"/>
      <c r="C240" s="1"/>
      <c r="D240" s="1"/>
      <c r="E240" s="1"/>
      <c r="F240" s="1"/>
      <c r="G240" s="1"/>
      <c r="H240" s="1"/>
    </row>
    <row r="241" spans="1:8" ht="15.3" x14ac:dyDescent="0.55000000000000004">
      <c r="A241" s="64"/>
      <c r="B241" s="1"/>
      <c r="C241" s="1"/>
      <c r="D241" s="1"/>
      <c r="E241" s="1"/>
      <c r="F241" s="1"/>
      <c r="G241" s="1"/>
      <c r="H241" s="1"/>
    </row>
    <row r="242" spans="1:8" ht="15.3" x14ac:dyDescent="0.55000000000000004">
      <c r="A242" s="64"/>
      <c r="B242" s="1"/>
      <c r="C242" s="1"/>
      <c r="D242" s="1"/>
      <c r="E242" s="1"/>
      <c r="F242" s="1"/>
      <c r="G242" s="1"/>
      <c r="H242" s="1"/>
    </row>
    <row r="243" spans="1:8" ht="15.3" x14ac:dyDescent="0.55000000000000004">
      <c r="A243" s="64"/>
      <c r="B243" s="1"/>
      <c r="C243" s="1"/>
      <c r="D243" s="1"/>
      <c r="E243" s="1"/>
      <c r="F243" s="1"/>
      <c r="G243" s="1"/>
      <c r="H243" s="1"/>
    </row>
    <row r="244" spans="1:8" ht="15.3" x14ac:dyDescent="0.55000000000000004">
      <c r="A244" s="64"/>
      <c r="B244" s="1"/>
      <c r="C244" s="1"/>
      <c r="D244" s="1"/>
      <c r="E244" s="1"/>
      <c r="F244" s="1"/>
      <c r="G244" s="1"/>
      <c r="H244" s="1"/>
    </row>
    <row r="245" spans="1:8" ht="15.3" x14ac:dyDescent="0.55000000000000004">
      <c r="A245" s="64"/>
      <c r="B245" s="1"/>
      <c r="C245" s="1"/>
      <c r="D245" s="1"/>
      <c r="E245" s="1"/>
      <c r="F245" s="1"/>
      <c r="G245" s="1"/>
      <c r="H245" s="1"/>
    </row>
    <row r="246" spans="1:8" ht="15.3" x14ac:dyDescent="0.55000000000000004">
      <c r="A246" s="64"/>
      <c r="B246" s="1"/>
      <c r="C246" s="1"/>
      <c r="D246" s="1"/>
      <c r="E246" s="1"/>
      <c r="F246" s="1"/>
      <c r="G246" s="1"/>
      <c r="H246" s="1"/>
    </row>
    <row r="247" spans="1:8" ht="15.3" x14ac:dyDescent="0.55000000000000004">
      <c r="A247" s="64"/>
      <c r="B247" s="1"/>
      <c r="C247" s="1"/>
      <c r="D247" s="1"/>
      <c r="E247" s="1"/>
      <c r="F247" s="1"/>
      <c r="G247" s="1"/>
      <c r="H247" s="1"/>
    </row>
    <row r="248" spans="1:8" ht="15.3" x14ac:dyDescent="0.55000000000000004">
      <c r="A248" s="64"/>
      <c r="B248" s="1"/>
      <c r="C248" s="1"/>
      <c r="D248" s="1"/>
      <c r="E248" s="1"/>
      <c r="F248" s="1"/>
      <c r="G248" s="1"/>
      <c r="H248" s="1"/>
    </row>
    <row r="249" spans="1:8" ht="15.3" x14ac:dyDescent="0.55000000000000004">
      <c r="A249" s="64"/>
      <c r="B249" s="1"/>
      <c r="C249" s="1"/>
      <c r="D249" s="1"/>
      <c r="E249" s="1"/>
      <c r="F249" s="1"/>
      <c r="G249" s="1"/>
      <c r="H249" s="1"/>
    </row>
    <row r="250" spans="1:8" ht="15.3" x14ac:dyDescent="0.55000000000000004">
      <c r="A250" s="64"/>
      <c r="B250" s="1"/>
      <c r="C250" s="1"/>
      <c r="D250" s="1"/>
      <c r="E250" s="1"/>
      <c r="F250" s="1"/>
      <c r="G250" s="1"/>
      <c r="H250" s="1"/>
    </row>
    <row r="251" spans="1:8" ht="15.3" x14ac:dyDescent="0.55000000000000004">
      <c r="A251" s="64"/>
      <c r="B251" s="1"/>
      <c r="C251" s="1"/>
      <c r="D251" s="1"/>
      <c r="E251" s="1"/>
      <c r="F251" s="1"/>
      <c r="G251" s="1"/>
      <c r="H251" s="1"/>
    </row>
    <row r="252" spans="1:8" ht="15.3" x14ac:dyDescent="0.55000000000000004">
      <c r="A252" s="64"/>
      <c r="B252" s="1"/>
      <c r="C252" s="1"/>
      <c r="D252" s="1"/>
      <c r="E252" s="1"/>
      <c r="F252" s="1"/>
      <c r="G252" s="1"/>
      <c r="H252" s="1"/>
    </row>
    <row r="253" spans="1:8" ht="15.3" x14ac:dyDescent="0.55000000000000004">
      <c r="A253" s="64"/>
      <c r="B253" s="1"/>
      <c r="C253" s="1"/>
      <c r="D253" s="1"/>
      <c r="E253" s="1"/>
      <c r="F253" s="1"/>
      <c r="G253" s="1"/>
      <c r="H253" s="1"/>
    </row>
    <row r="254" spans="1:8" ht="15.3" x14ac:dyDescent="0.55000000000000004">
      <c r="A254" s="64"/>
      <c r="B254" s="1"/>
      <c r="C254" s="1"/>
      <c r="D254" s="1"/>
      <c r="E254" s="1"/>
      <c r="F254" s="1"/>
      <c r="G254" s="1"/>
      <c r="H254" s="1"/>
    </row>
    <row r="255" spans="1:8" ht="15.3" x14ac:dyDescent="0.55000000000000004">
      <c r="A255" s="64"/>
      <c r="B255" s="1"/>
      <c r="C255" s="1"/>
      <c r="D255" s="1"/>
      <c r="E255" s="1"/>
      <c r="F255" s="1"/>
      <c r="G255" s="1"/>
      <c r="H255" s="1"/>
    </row>
    <row r="256" spans="1:8" ht="15.3" x14ac:dyDescent="0.55000000000000004">
      <c r="A256" s="64"/>
      <c r="B256" s="1"/>
      <c r="C256" s="1"/>
      <c r="D256" s="1"/>
      <c r="E256" s="1"/>
      <c r="F256" s="1"/>
      <c r="G256" s="1"/>
      <c r="H256" s="1"/>
    </row>
    <row r="257" spans="1:8" ht="15.3" x14ac:dyDescent="0.55000000000000004">
      <c r="A257" s="64"/>
      <c r="B257" s="1"/>
      <c r="C257" s="1"/>
      <c r="D257" s="1"/>
      <c r="E257" s="1"/>
      <c r="F257" s="1"/>
      <c r="G257" s="1"/>
      <c r="H257" s="1"/>
    </row>
    <row r="258" spans="1:8" ht="15.3" x14ac:dyDescent="0.55000000000000004">
      <c r="A258" s="64"/>
      <c r="B258" s="1"/>
      <c r="C258" s="1"/>
      <c r="D258" s="1"/>
      <c r="E258" s="1"/>
      <c r="F258" s="1"/>
      <c r="G258" s="1"/>
      <c r="H258" s="1"/>
    </row>
    <row r="259" spans="1:8" ht="15.3" x14ac:dyDescent="0.55000000000000004">
      <c r="A259" s="64"/>
      <c r="B259" s="1"/>
      <c r="C259" s="1"/>
      <c r="D259" s="1"/>
      <c r="E259" s="1"/>
      <c r="F259" s="1"/>
      <c r="G259" s="1"/>
      <c r="H259" s="1"/>
    </row>
    <row r="260" spans="1:8" ht="15.3" x14ac:dyDescent="0.55000000000000004">
      <c r="A260" s="64"/>
      <c r="B260" s="1"/>
      <c r="C260" s="1"/>
      <c r="D260" s="1"/>
      <c r="E260" s="1"/>
      <c r="F260" s="1"/>
      <c r="G260" s="1"/>
      <c r="H260" s="1"/>
    </row>
    <row r="261" spans="1:8" ht="15.3" x14ac:dyDescent="0.55000000000000004">
      <c r="A261" s="64"/>
      <c r="B261" s="1"/>
      <c r="C261" s="1"/>
      <c r="D261" s="1"/>
      <c r="E261" s="1"/>
      <c r="F261" s="1"/>
      <c r="G261" s="1"/>
      <c r="H261" s="1"/>
    </row>
    <row r="262" spans="1:8" ht="15.3" x14ac:dyDescent="0.55000000000000004">
      <c r="A262" s="64"/>
      <c r="B262" s="1"/>
      <c r="C262" s="1"/>
      <c r="D262" s="1"/>
      <c r="E262" s="1"/>
      <c r="F262" s="1"/>
      <c r="G262" s="1"/>
      <c r="H262" s="1"/>
    </row>
    <row r="263" spans="1:8" ht="15.3" x14ac:dyDescent="0.55000000000000004">
      <c r="A263" s="64"/>
      <c r="B263" s="1"/>
      <c r="C263" s="1"/>
      <c r="D263" s="1"/>
      <c r="E263" s="1"/>
      <c r="F263" s="1"/>
      <c r="G263" s="1"/>
      <c r="H263" s="1"/>
    </row>
    <row r="264" spans="1:8" ht="15.3" x14ac:dyDescent="0.55000000000000004">
      <c r="A264" s="64"/>
      <c r="B264" s="1"/>
      <c r="C264" s="1"/>
      <c r="D264" s="1"/>
      <c r="E264" s="1"/>
      <c r="F264" s="1"/>
      <c r="G264" s="1"/>
      <c r="H264" s="1"/>
    </row>
    <row r="265" spans="1:8" ht="15.3" x14ac:dyDescent="0.55000000000000004">
      <c r="A265" s="64"/>
      <c r="B265" s="1"/>
      <c r="C265" s="1"/>
      <c r="D265" s="1"/>
      <c r="E265" s="1"/>
      <c r="F265" s="1"/>
      <c r="G265" s="1"/>
      <c r="H265" s="1"/>
    </row>
    <row r="266" spans="1:8" ht="15.3" x14ac:dyDescent="0.55000000000000004">
      <c r="A266" s="64"/>
      <c r="B266" s="1"/>
      <c r="C266" s="1"/>
      <c r="D266" s="1"/>
      <c r="E266" s="1"/>
      <c r="F266" s="1"/>
      <c r="G266" s="1"/>
      <c r="H266" s="1"/>
    </row>
    <row r="267" spans="1:8" ht="15.3" x14ac:dyDescent="0.55000000000000004">
      <c r="A267" s="64"/>
      <c r="B267" s="1"/>
      <c r="C267" s="1"/>
      <c r="D267" s="1"/>
      <c r="E267" s="1"/>
      <c r="F267" s="1"/>
      <c r="G267" s="1"/>
      <c r="H267" s="1"/>
    </row>
    <row r="268" spans="1:8" ht="15.3" x14ac:dyDescent="0.55000000000000004">
      <c r="A268" s="64"/>
      <c r="B268" s="1"/>
      <c r="C268" s="1"/>
      <c r="D268" s="1"/>
      <c r="E268" s="1"/>
      <c r="F268" s="1"/>
      <c r="G268" s="1"/>
      <c r="H268" s="1"/>
    </row>
    <row r="269" spans="1:8" ht="15.3" x14ac:dyDescent="0.55000000000000004">
      <c r="A269" s="64"/>
      <c r="B269" s="1"/>
      <c r="C269" s="1"/>
      <c r="D269" s="1"/>
      <c r="E269" s="1"/>
      <c r="F269" s="1"/>
      <c r="G269" s="1"/>
      <c r="H269" s="1"/>
    </row>
    <row r="270" spans="1:8" ht="15.3" x14ac:dyDescent="0.55000000000000004">
      <c r="A270" s="64"/>
      <c r="B270" s="1"/>
      <c r="C270" s="1"/>
      <c r="D270" s="1"/>
      <c r="E270" s="1"/>
      <c r="F270" s="1"/>
      <c r="G270" s="1"/>
      <c r="H270" s="1"/>
    </row>
    <row r="271" spans="1:8" ht="15.3" x14ac:dyDescent="0.55000000000000004">
      <c r="A271" s="64"/>
      <c r="B271" s="1"/>
      <c r="C271" s="1"/>
      <c r="D271" s="1"/>
      <c r="E271" s="1"/>
      <c r="F271" s="1"/>
      <c r="G271" s="1"/>
      <c r="H271" s="1"/>
    </row>
    <row r="272" spans="1:8" ht="15.3" x14ac:dyDescent="0.55000000000000004">
      <c r="A272" s="64"/>
      <c r="B272" s="1"/>
      <c r="C272" s="1"/>
      <c r="D272" s="1"/>
      <c r="E272" s="1"/>
      <c r="F272" s="1"/>
      <c r="G272" s="1"/>
      <c r="H272" s="1"/>
    </row>
    <row r="273" spans="1:8" ht="15.3" x14ac:dyDescent="0.55000000000000004">
      <c r="A273" s="64"/>
      <c r="B273" s="1"/>
      <c r="C273" s="1"/>
      <c r="D273" s="1"/>
      <c r="E273" s="1"/>
      <c r="F273" s="1"/>
      <c r="G273" s="1"/>
      <c r="H273" s="1"/>
    </row>
    <row r="274" spans="1:8" ht="15.3" x14ac:dyDescent="0.55000000000000004">
      <c r="A274" s="64"/>
      <c r="B274" s="1"/>
      <c r="C274" s="1"/>
      <c r="D274" s="1"/>
      <c r="E274" s="1"/>
      <c r="F274" s="1"/>
      <c r="G274" s="1"/>
      <c r="H274" s="1"/>
    </row>
    <row r="275" spans="1:8" ht="15.3" x14ac:dyDescent="0.55000000000000004">
      <c r="A275" s="64"/>
      <c r="B275" s="1"/>
      <c r="C275" s="1"/>
      <c r="D275" s="1"/>
      <c r="E275" s="1"/>
      <c r="F275" s="1"/>
      <c r="G275" s="1"/>
      <c r="H275" s="1"/>
    </row>
    <row r="276" spans="1:8" ht="15.3" x14ac:dyDescent="0.55000000000000004">
      <c r="A276" s="64"/>
      <c r="B276" s="1"/>
      <c r="C276" s="1"/>
      <c r="D276" s="1"/>
      <c r="E276" s="1"/>
      <c r="F276" s="1"/>
      <c r="G276" s="1"/>
      <c r="H276" s="1"/>
    </row>
    <row r="277" spans="1:8" ht="15.3" x14ac:dyDescent="0.55000000000000004">
      <c r="A277" s="64"/>
      <c r="B277" s="1"/>
      <c r="C277" s="1"/>
      <c r="D277" s="1"/>
      <c r="E277" s="1"/>
      <c r="F277" s="1"/>
      <c r="G277" s="1"/>
      <c r="H277" s="1"/>
    </row>
    <row r="278" spans="1:8" ht="15.3" x14ac:dyDescent="0.55000000000000004">
      <c r="A278" s="64"/>
      <c r="B278" s="1"/>
      <c r="C278" s="1"/>
      <c r="D278" s="1"/>
      <c r="E278" s="1"/>
      <c r="F278" s="1"/>
      <c r="G278" s="1"/>
      <c r="H278" s="1"/>
    </row>
    <row r="279" spans="1:8" ht="15.3" x14ac:dyDescent="0.55000000000000004">
      <c r="A279" s="64"/>
      <c r="B279" s="1"/>
      <c r="C279" s="1"/>
      <c r="D279" s="1"/>
      <c r="E279" s="1"/>
      <c r="F279" s="1"/>
      <c r="G279" s="1"/>
      <c r="H279" s="1"/>
    </row>
    <row r="280" spans="1:8" ht="15.3" x14ac:dyDescent="0.55000000000000004">
      <c r="A280" s="64"/>
      <c r="B280" s="1"/>
      <c r="C280" s="1"/>
      <c r="D280" s="1"/>
      <c r="E280" s="1"/>
      <c r="F280" s="1"/>
      <c r="G280" s="1"/>
      <c r="H280" s="1"/>
    </row>
    <row r="281" spans="1:8" ht="15.3" x14ac:dyDescent="0.55000000000000004">
      <c r="A281" s="64"/>
      <c r="B281" s="1"/>
      <c r="C281" s="1"/>
      <c r="D281" s="1"/>
      <c r="E281" s="1"/>
      <c r="F281" s="1"/>
      <c r="G281" s="1"/>
      <c r="H281" s="1"/>
    </row>
    <row r="282" spans="1:8" ht="15.3" x14ac:dyDescent="0.55000000000000004">
      <c r="A282" s="64"/>
      <c r="B282" s="1"/>
      <c r="C282" s="1"/>
      <c r="D282" s="1"/>
      <c r="E282" s="1"/>
      <c r="F282" s="1"/>
      <c r="G282" s="1"/>
      <c r="H282" s="1"/>
    </row>
    <row r="283" spans="1:8" ht="15.3" x14ac:dyDescent="0.55000000000000004">
      <c r="A283" s="64"/>
      <c r="B283" s="1"/>
      <c r="C283" s="1"/>
      <c r="D283" s="1"/>
      <c r="E283" s="1"/>
      <c r="F283" s="1"/>
      <c r="G283" s="1"/>
      <c r="H283" s="1"/>
    </row>
    <row r="284" spans="1:8" ht="15.3" x14ac:dyDescent="0.55000000000000004">
      <c r="A284" s="64"/>
      <c r="B284" s="1"/>
      <c r="C284" s="1"/>
      <c r="D284" s="1"/>
      <c r="E284" s="1"/>
      <c r="F284" s="1"/>
      <c r="G284" s="1"/>
      <c r="H284" s="1"/>
    </row>
    <row r="285" spans="1:8" ht="15.3" x14ac:dyDescent="0.55000000000000004">
      <c r="A285" s="64"/>
      <c r="B285" s="1"/>
      <c r="C285" s="1"/>
      <c r="D285" s="1"/>
      <c r="E285" s="1"/>
      <c r="F285" s="1"/>
      <c r="G285" s="1"/>
      <c r="H285" s="1"/>
    </row>
    <row r="286" spans="1:8" ht="15.3" x14ac:dyDescent="0.55000000000000004">
      <c r="A286" s="64"/>
      <c r="B286" s="1"/>
      <c r="C286" s="1"/>
      <c r="D286" s="1"/>
      <c r="E286" s="1"/>
      <c r="F286" s="1"/>
      <c r="G286" s="1"/>
      <c r="H286" s="1"/>
    </row>
    <row r="287" spans="1:8" ht="15.3" x14ac:dyDescent="0.55000000000000004">
      <c r="A287" s="64"/>
      <c r="B287" s="1"/>
      <c r="C287" s="1"/>
      <c r="D287" s="1"/>
      <c r="E287" s="1"/>
      <c r="F287" s="1"/>
      <c r="G287" s="1"/>
      <c r="H287" s="1"/>
    </row>
    <row r="288" spans="1:8" ht="15.3" x14ac:dyDescent="0.55000000000000004">
      <c r="A288" s="64"/>
      <c r="B288" s="1"/>
      <c r="C288" s="1"/>
      <c r="D288" s="1"/>
      <c r="E288" s="1"/>
      <c r="F288" s="1"/>
      <c r="G288" s="1"/>
      <c r="H288" s="1"/>
    </row>
    <row r="289" spans="1:8" ht="15.3" x14ac:dyDescent="0.55000000000000004">
      <c r="A289" s="64"/>
      <c r="B289" s="1"/>
      <c r="C289" s="1"/>
      <c r="D289" s="1"/>
      <c r="E289" s="1"/>
      <c r="F289" s="1"/>
      <c r="G289" s="1"/>
      <c r="H289" s="1"/>
    </row>
    <row r="290" spans="1:8" ht="15.3" x14ac:dyDescent="0.55000000000000004">
      <c r="A290" s="64"/>
      <c r="B290" s="1"/>
      <c r="C290" s="1"/>
      <c r="D290" s="1"/>
      <c r="E290" s="1"/>
      <c r="F290" s="1"/>
      <c r="G290" s="1"/>
      <c r="H290" s="1"/>
    </row>
    <row r="291" spans="1:8" ht="15.3" x14ac:dyDescent="0.55000000000000004">
      <c r="A291" s="64"/>
      <c r="B291" s="1"/>
      <c r="C291" s="1"/>
      <c r="D291" s="1"/>
      <c r="E291" s="1"/>
      <c r="F291" s="1"/>
      <c r="G291" s="1"/>
      <c r="H291" s="1"/>
    </row>
    <row r="292" spans="1:8" ht="15.3" x14ac:dyDescent="0.55000000000000004">
      <c r="A292" s="64"/>
      <c r="B292" s="1"/>
      <c r="C292" s="1"/>
      <c r="D292" s="1"/>
      <c r="E292" s="1"/>
      <c r="F292" s="1"/>
      <c r="G292" s="1"/>
      <c r="H292" s="1"/>
    </row>
    <row r="293" spans="1:8" ht="15.3" x14ac:dyDescent="0.55000000000000004">
      <c r="A293" s="64"/>
      <c r="B293" s="1"/>
      <c r="C293" s="1"/>
      <c r="D293" s="1"/>
      <c r="E293" s="1"/>
      <c r="F293" s="1"/>
      <c r="G293" s="1"/>
      <c r="H293" s="1"/>
    </row>
    <row r="294" spans="1:8" ht="15.3" x14ac:dyDescent="0.55000000000000004">
      <c r="A294" s="64"/>
      <c r="B294" s="1"/>
      <c r="C294" s="1"/>
      <c r="D294" s="1"/>
      <c r="E294" s="1"/>
      <c r="F294" s="1"/>
      <c r="G294" s="1"/>
      <c r="H294" s="1"/>
    </row>
    <row r="295" spans="1:8" ht="15.3" x14ac:dyDescent="0.55000000000000004">
      <c r="A295" s="64"/>
      <c r="B295" s="1"/>
      <c r="C295" s="1"/>
      <c r="D295" s="1"/>
      <c r="E295" s="1"/>
      <c r="F295" s="1"/>
      <c r="G295" s="1"/>
      <c r="H295" s="1"/>
    </row>
    <row r="296" spans="1:8" ht="15.3" x14ac:dyDescent="0.55000000000000004">
      <c r="A296" s="64"/>
      <c r="B296" s="1"/>
      <c r="C296" s="1"/>
      <c r="D296" s="1"/>
      <c r="E296" s="1"/>
      <c r="F296" s="1"/>
      <c r="G296" s="1"/>
      <c r="H296" s="1"/>
    </row>
    <row r="297" spans="1:8" ht="15.3" x14ac:dyDescent="0.55000000000000004">
      <c r="A297" s="64"/>
      <c r="B297" s="1"/>
      <c r="C297" s="1"/>
      <c r="D297" s="1"/>
      <c r="E297" s="1"/>
      <c r="F297" s="1"/>
      <c r="G297" s="1"/>
      <c r="H297" s="1"/>
    </row>
    <row r="298" spans="1:8" ht="15.3" x14ac:dyDescent="0.55000000000000004">
      <c r="A298" s="64"/>
      <c r="B298" s="1"/>
      <c r="C298" s="1"/>
      <c r="D298" s="1"/>
      <c r="E298" s="1"/>
      <c r="F298" s="1"/>
      <c r="G298" s="1"/>
      <c r="H298" s="1"/>
    </row>
    <row r="299" spans="1:8" ht="15.3" x14ac:dyDescent="0.55000000000000004">
      <c r="A299" s="64"/>
      <c r="B299" s="1"/>
      <c r="C299" s="1"/>
      <c r="D299" s="1"/>
      <c r="E299" s="1"/>
      <c r="F299" s="1"/>
      <c r="G299" s="1"/>
      <c r="H299" s="1"/>
    </row>
    <row r="300" spans="1:8" ht="15.3" x14ac:dyDescent="0.55000000000000004">
      <c r="A300" s="64"/>
      <c r="B300" s="1"/>
      <c r="C300" s="1"/>
      <c r="D300" s="1"/>
      <c r="E300" s="1"/>
      <c r="F300" s="1"/>
      <c r="G300" s="1"/>
      <c r="H300" s="1"/>
    </row>
    <row r="301" spans="1:8" ht="15.3" x14ac:dyDescent="0.55000000000000004">
      <c r="A301" s="64"/>
      <c r="B301" s="1"/>
      <c r="C301" s="1"/>
      <c r="D301" s="1"/>
      <c r="E301" s="1"/>
      <c r="F301" s="1"/>
      <c r="G301" s="1"/>
      <c r="H301" s="1"/>
    </row>
    <row r="302" spans="1:8" ht="15.3" x14ac:dyDescent="0.55000000000000004">
      <c r="A302" s="64"/>
      <c r="B302" s="1"/>
      <c r="C302" s="1"/>
      <c r="D302" s="1"/>
      <c r="E302" s="1"/>
      <c r="F302" s="1"/>
      <c r="G302" s="1"/>
      <c r="H302" s="1"/>
    </row>
    <row r="303" spans="1:8" ht="15.3" x14ac:dyDescent="0.55000000000000004">
      <c r="A303" s="64"/>
      <c r="B303" s="1"/>
      <c r="C303" s="1"/>
      <c r="D303" s="1"/>
      <c r="E303" s="1"/>
      <c r="F303" s="1"/>
      <c r="G303" s="1"/>
      <c r="H303" s="1"/>
    </row>
    <row r="304" spans="1:8" ht="15.3" x14ac:dyDescent="0.55000000000000004">
      <c r="A304" s="64"/>
      <c r="B304" s="1"/>
      <c r="C304" s="1"/>
      <c r="D304" s="1"/>
      <c r="E304" s="1"/>
      <c r="F304" s="1"/>
      <c r="G304" s="1"/>
      <c r="H304" s="1"/>
    </row>
    <row r="305" spans="1:8" ht="15.3" x14ac:dyDescent="0.55000000000000004">
      <c r="A305" s="64"/>
      <c r="B305" s="1"/>
      <c r="C305" s="1"/>
      <c r="D305" s="1"/>
      <c r="E305" s="1"/>
      <c r="F305" s="1"/>
      <c r="G305" s="1"/>
      <c r="H305" s="1"/>
    </row>
    <row r="306" spans="1:8" ht="15.3" x14ac:dyDescent="0.55000000000000004">
      <c r="A306" s="64"/>
      <c r="B306" s="1"/>
      <c r="C306" s="1"/>
      <c r="D306" s="1"/>
      <c r="E306" s="1"/>
      <c r="F306" s="1"/>
      <c r="G306" s="1"/>
      <c r="H306" s="1"/>
    </row>
    <row r="307" spans="1:8" ht="15.3" x14ac:dyDescent="0.55000000000000004">
      <c r="A307" s="64"/>
      <c r="B307" s="1"/>
      <c r="C307" s="1"/>
      <c r="D307" s="1"/>
      <c r="E307" s="1"/>
      <c r="F307" s="1"/>
      <c r="G307" s="1"/>
      <c r="H307" s="1"/>
    </row>
    <row r="308" spans="1:8" ht="15.3" x14ac:dyDescent="0.55000000000000004">
      <c r="A308" s="64"/>
      <c r="B308" s="1"/>
      <c r="C308" s="1"/>
      <c r="D308" s="1"/>
      <c r="E308" s="1"/>
      <c r="F308" s="1"/>
      <c r="G308" s="1"/>
      <c r="H308" s="1"/>
    </row>
    <row r="309" spans="1:8" ht="15.3" x14ac:dyDescent="0.55000000000000004">
      <c r="A309" s="64"/>
      <c r="B309" s="1"/>
      <c r="C309" s="1"/>
      <c r="D309" s="1"/>
      <c r="E309" s="1"/>
      <c r="F309" s="1"/>
      <c r="G309" s="1"/>
      <c r="H309" s="1"/>
    </row>
    <row r="310" spans="1:8" ht="15.3" x14ac:dyDescent="0.55000000000000004">
      <c r="A310" s="64"/>
      <c r="B310" s="1"/>
      <c r="C310" s="1"/>
      <c r="D310" s="1"/>
      <c r="E310" s="1"/>
      <c r="F310" s="1"/>
      <c r="G310" s="1"/>
      <c r="H310" s="1"/>
    </row>
    <row r="311" spans="1:8" ht="15.3" x14ac:dyDescent="0.55000000000000004">
      <c r="A311" s="64"/>
      <c r="B311" s="1"/>
      <c r="C311" s="1"/>
      <c r="D311" s="1"/>
      <c r="E311" s="1"/>
      <c r="F311" s="1"/>
      <c r="G311" s="1"/>
      <c r="H311" s="1"/>
    </row>
    <row r="312" spans="1:8" ht="15.3" x14ac:dyDescent="0.55000000000000004">
      <c r="A312" s="64"/>
      <c r="B312" s="1"/>
      <c r="C312" s="1"/>
      <c r="D312" s="1"/>
      <c r="E312" s="1"/>
      <c r="F312" s="1"/>
      <c r="G312" s="1"/>
      <c r="H312" s="1"/>
    </row>
    <row r="313" spans="1:8" ht="15.3" x14ac:dyDescent="0.55000000000000004">
      <c r="A313" s="64"/>
      <c r="B313" s="1"/>
      <c r="C313" s="1"/>
      <c r="D313" s="1"/>
      <c r="E313" s="1"/>
      <c r="F313" s="1"/>
      <c r="G313" s="1"/>
      <c r="H313" s="1"/>
    </row>
    <row r="314" spans="1:8" ht="15.3" x14ac:dyDescent="0.55000000000000004">
      <c r="A314" s="64"/>
      <c r="B314" s="1"/>
      <c r="C314" s="1"/>
      <c r="D314" s="1"/>
      <c r="E314" s="1"/>
      <c r="F314" s="1"/>
      <c r="G314" s="1"/>
      <c r="H314" s="1"/>
    </row>
    <row r="315" spans="1:8" ht="15.3" x14ac:dyDescent="0.55000000000000004">
      <c r="A315" s="64"/>
      <c r="B315" s="1"/>
      <c r="C315" s="1"/>
      <c r="D315" s="1"/>
      <c r="E315" s="1"/>
      <c r="F315" s="1"/>
      <c r="G315" s="1"/>
      <c r="H315" s="1"/>
    </row>
    <row r="316" spans="1:8" ht="15.3" x14ac:dyDescent="0.55000000000000004">
      <c r="A316" s="64"/>
      <c r="B316" s="1"/>
      <c r="C316" s="1"/>
      <c r="D316" s="1"/>
      <c r="E316" s="1"/>
      <c r="F316" s="1"/>
      <c r="G316" s="1"/>
      <c r="H316" s="1"/>
    </row>
    <row r="317" spans="1:8" ht="15.3" x14ac:dyDescent="0.55000000000000004">
      <c r="A317" s="64"/>
      <c r="B317" s="1"/>
      <c r="C317" s="1"/>
      <c r="D317" s="1"/>
      <c r="E317" s="1"/>
      <c r="F317" s="1"/>
      <c r="G317" s="1"/>
      <c r="H317" s="1"/>
    </row>
    <row r="318" spans="1:8" ht="15.3" x14ac:dyDescent="0.55000000000000004">
      <c r="A318" s="64"/>
      <c r="B318" s="1"/>
      <c r="C318" s="1"/>
      <c r="D318" s="1"/>
      <c r="E318" s="1"/>
      <c r="F318" s="1"/>
      <c r="G318" s="1"/>
      <c r="H318" s="1"/>
    </row>
    <row r="319" spans="1:8" ht="15.3" x14ac:dyDescent="0.55000000000000004">
      <c r="A319" s="64"/>
      <c r="B319" s="1"/>
      <c r="C319" s="1"/>
      <c r="D319" s="1"/>
      <c r="E319" s="1"/>
      <c r="F319" s="1"/>
      <c r="G319" s="1"/>
      <c r="H319" s="1"/>
    </row>
    <row r="320" spans="1:8" ht="15.3" x14ac:dyDescent="0.55000000000000004">
      <c r="A320" s="64"/>
      <c r="B320" s="1"/>
      <c r="C320" s="1"/>
      <c r="D320" s="1"/>
      <c r="E320" s="1"/>
      <c r="F320" s="1"/>
      <c r="G320" s="1"/>
      <c r="H320" s="1"/>
    </row>
    <row r="321" spans="1:8" ht="15.3" x14ac:dyDescent="0.55000000000000004">
      <c r="A321" s="64"/>
      <c r="B321" s="1"/>
      <c r="C321" s="1"/>
      <c r="D321" s="1"/>
      <c r="E321" s="1"/>
      <c r="F321" s="1"/>
      <c r="G321" s="1"/>
      <c r="H321" s="1"/>
    </row>
    <row r="322" spans="1:8" ht="15.3" x14ac:dyDescent="0.55000000000000004">
      <c r="A322" s="64"/>
      <c r="B322" s="1"/>
      <c r="C322" s="1"/>
      <c r="D322" s="1"/>
      <c r="E322" s="1"/>
      <c r="F322" s="1"/>
      <c r="G322" s="1"/>
      <c r="H322" s="1"/>
    </row>
    <row r="323" spans="1:8" ht="15.3" x14ac:dyDescent="0.55000000000000004">
      <c r="A323" s="64"/>
      <c r="B323" s="1"/>
      <c r="C323" s="1"/>
      <c r="D323" s="1"/>
      <c r="E323" s="1"/>
      <c r="F323" s="1"/>
      <c r="G323" s="1"/>
      <c r="H323" s="1"/>
    </row>
    <row r="324" spans="1:8" ht="15.3" x14ac:dyDescent="0.55000000000000004">
      <c r="A324" s="64"/>
      <c r="B324" s="1"/>
      <c r="C324" s="1"/>
      <c r="D324" s="1"/>
      <c r="E324" s="1"/>
      <c r="F324" s="1"/>
      <c r="G324" s="1"/>
      <c r="H324" s="1"/>
    </row>
    <row r="325" spans="1:8" ht="15.3" x14ac:dyDescent="0.55000000000000004">
      <c r="A325" s="64"/>
      <c r="B325" s="1"/>
      <c r="C325" s="1"/>
      <c r="D325" s="1"/>
      <c r="E325" s="1"/>
      <c r="F325" s="1"/>
      <c r="G325" s="1"/>
      <c r="H325" s="1"/>
    </row>
    <row r="326" spans="1:8" ht="15.3" x14ac:dyDescent="0.55000000000000004">
      <c r="A326" s="64"/>
      <c r="B326" s="1"/>
      <c r="C326" s="1"/>
      <c r="D326" s="1"/>
      <c r="E326" s="1"/>
      <c r="F326" s="1"/>
      <c r="G326" s="1"/>
      <c r="H326" s="1"/>
    </row>
    <row r="327" spans="1:8" ht="15.3" x14ac:dyDescent="0.55000000000000004">
      <c r="A327" s="64"/>
      <c r="B327" s="1"/>
      <c r="C327" s="1"/>
      <c r="D327" s="1"/>
      <c r="E327" s="1"/>
      <c r="F327" s="1"/>
      <c r="G327" s="1"/>
      <c r="H327" s="1"/>
    </row>
    <row r="328" spans="1:8" ht="15.3" x14ac:dyDescent="0.55000000000000004">
      <c r="A328" s="64"/>
      <c r="B328" s="1"/>
      <c r="C328" s="1"/>
      <c r="D328" s="1"/>
      <c r="E328" s="1"/>
      <c r="F328" s="1"/>
      <c r="G328" s="1"/>
      <c r="H328" s="1"/>
    </row>
    <row r="329" spans="1:8" ht="15.3" x14ac:dyDescent="0.55000000000000004">
      <c r="A329" s="64"/>
      <c r="B329" s="1"/>
      <c r="C329" s="1"/>
      <c r="D329" s="1"/>
      <c r="E329" s="1"/>
      <c r="F329" s="1"/>
      <c r="G329" s="1"/>
      <c r="H329" s="1"/>
    </row>
  </sheetData>
  <mergeCells count="40">
    <mergeCell ref="AC12:AC14"/>
    <mergeCell ref="B17:I17"/>
    <mergeCell ref="J17:AC17"/>
    <mergeCell ref="AE17:AF17"/>
    <mergeCell ref="J20:M20"/>
    <mergeCell ref="N20:Q20"/>
    <mergeCell ref="R20:U20"/>
    <mergeCell ref="V20:Y20"/>
    <mergeCell ref="Z20:AC20"/>
    <mergeCell ref="AD20:AG20"/>
    <mergeCell ref="B20:E20"/>
    <mergeCell ref="F20:I20"/>
    <mergeCell ref="A15:C15"/>
    <mergeCell ref="B12:C12"/>
    <mergeCell ref="D12:F12"/>
    <mergeCell ref="G12:I12"/>
    <mergeCell ref="AB12:AB14"/>
    <mergeCell ref="S12:S14"/>
    <mergeCell ref="M12:M14"/>
    <mergeCell ref="N12:N14"/>
    <mergeCell ref="O12:O14"/>
    <mergeCell ref="P12:P14"/>
    <mergeCell ref="Q12:Q14"/>
    <mergeCell ref="R12:R14"/>
    <mergeCell ref="AD12:AD14"/>
    <mergeCell ref="B10:I10"/>
    <mergeCell ref="J10:Y10"/>
    <mergeCell ref="Z10:AC10"/>
    <mergeCell ref="AE10:AF10"/>
    <mergeCell ref="J12:J14"/>
    <mergeCell ref="K12:K14"/>
    <mergeCell ref="L12:L14"/>
    <mergeCell ref="T12:T14"/>
    <mergeCell ref="U12:U14"/>
    <mergeCell ref="V12:V14"/>
    <mergeCell ref="W12:W14"/>
    <mergeCell ref="X12:X14"/>
    <mergeCell ref="Y12:Y14"/>
    <mergeCell ref="Z12:Z14"/>
    <mergeCell ref="AA12:AA14"/>
  </mergeCells>
  <conditionalFormatting sqref="B11:AF11">
    <cfRule type="cellIs" dxfId="23" priority="1" operator="lessThan">
      <formula>0</formula>
    </cfRule>
    <cfRule type="cellIs" dxfId="22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BNR</vt:lpstr>
      <vt:lpstr>BCD</vt:lpstr>
      <vt:lpstr>Cycle Arinc HC12</vt:lpstr>
      <vt:lpstr>RTi HC12</vt:lpstr>
      <vt:lpstr>QNE 203</vt:lpstr>
      <vt:lpstr>DME 201</vt:lpstr>
      <vt:lpstr>VHF_</vt:lpstr>
      <vt:lpstr>DME_202</vt:lpstr>
      <vt:lpstr>Altitude_</vt:lpstr>
      <vt:lpstr>Pitch_Angle</vt:lpstr>
      <vt:lpstr>Bearing_ VOR</vt:lpstr>
      <vt:lpstr>Bearing_</vt:lpstr>
      <vt:lpstr>Roll_Angle</vt:lpstr>
      <vt:lpstr>True_Air Speed</vt:lpstr>
      <vt:lpstr>Vertical_Speed</vt:lpstr>
      <vt:lpstr>Magnetic_Heading</vt:lpstr>
      <vt:lpstr>Conversion de Base</vt:lpstr>
      <vt:lpstr>Arinc 429 LABEL</vt:lpstr>
      <vt:lpstr>test DDRMI A330-600</vt:lpstr>
      <vt:lpstr>Cablage DDRMI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Denis MICHAUD</cp:lastModifiedBy>
  <dcterms:created xsi:type="dcterms:W3CDTF">2014-01-23T06:31:25Z</dcterms:created>
  <dcterms:modified xsi:type="dcterms:W3CDTF">2021-01-30T22:04:33Z</dcterms:modified>
</cp:coreProperties>
</file>