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tabRatio="695" activeTab="0"/>
  </bookViews>
  <sheets>
    <sheet name="ENONCE TP avionique" sheetId="1" r:id="rId1"/>
    <sheet name="Altimètre" sheetId="2" r:id="rId2"/>
    <sheet name="Corr_td1unit" sheetId="3" r:id="rId3"/>
    <sheet name="TD1_unit" sheetId="4" r:id="rId4"/>
    <sheet name="dynamique dB" sheetId="5" r:id="rId5"/>
    <sheet name="T Totale" sheetId="6" r:id="rId6"/>
    <sheet name="atmosphère" sheetId="7" r:id="rId7"/>
    <sheet name="vario" sheetId="8" r:id="rId8"/>
    <sheet name="Doc Maintenance Aéro" sheetId="9" r:id="rId9"/>
    <sheet name="unité aéro" sheetId="10" r:id="rId10"/>
    <sheet name="temp" sheetId="11" r:id="rId11"/>
  </sheets>
  <externalReferences>
    <externalReference r:id="rId14"/>
  </externalReferences>
  <definedNames>
    <definedName name="_xlnm.Print_Area" localSheetId="2">'Corr_td1unit'!$A$31:$L$46</definedName>
    <definedName name="_xlnm.Print_Area" localSheetId="3">'TD1_unit'!$A$1:$K$45</definedName>
  </definedNames>
  <calcPr fullCalcOnLoad="1"/>
</workbook>
</file>

<file path=xl/comments1.xml><?xml version="1.0" encoding="utf-8"?>
<comments xmlns="http://schemas.openxmlformats.org/spreadsheetml/2006/main">
  <authors>
    <author>MICHAUD</author>
  </authors>
  <commentList>
    <comment ref="B5" authorId="0">
      <text>
        <r>
          <rPr>
            <b/>
            <sz val="11"/>
            <rFont val="Tahoma"/>
            <family val="2"/>
          </rPr>
          <t xml:space="preserve">Les documents ( compte rendu) doivent etre stocker sur disque dur UNIQUEMENT sous: </t>
        </r>
        <r>
          <rPr>
            <b/>
            <sz val="14"/>
            <rFont val="Tahoma"/>
            <family val="2"/>
          </rPr>
          <t>c:/User/"votre classe" / "vos noms"</t>
        </r>
      </text>
    </comment>
    <comment ref="B1" authorId="0">
      <text>
        <r>
          <rPr>
            <b/>
            <sz val="26"/>
            <rFont val="Tahoma"/>
            <family val="2"/>
          </rPr>
          <t>Les documents ( compte rendu) doivent etre stocker sur disque dur UNIQUEMENT sous: c:/User/"votre classe" / "vos noms"c</t>
        </r>
      </text>
    </comment>
    <comment ref="B23" authorId="0">
      <text>
        <r>
          <rPr>
            <b/>
            <sz val="12"/>
            <rFont val="Tahoma"/>
            <family val="2"/>
          </rPr>
          <t>PRECISEZ la date de vos travaux et préciser la salle et la référence de l'ordinateur</t>
        </r>
      </text>
    </comment>
  </commentList>
</comments>
</file>

<file path=xl/sharedStrings.xml><?xml version="1.0" encoding="utf-8"?>
<sst xmlns="http://schemas.openxmlformats.org/spreadsheetml/2006/main" count="1307" uniqueCount="619">
  <si>
    <t>NM</t>
  </si>
  <si>
    <t>mille marin</t>
  </si>
  <si>
    <t>mètres</t>
  </si>
  <si>
    <t>km</t>
  </si>
  <si>
    <t>cm</t>
  </si>
  <si>
    <t>pieds</t>
  </si>
  <si>
    <t>feet = ft</t>
  </si>
  <si>
    <t>DO</t>
  </si>
  <si>
    <t>Hypoténuse</t>
  </si>
  <si>
    <t>DS</t>
  </si>
  <si>
    <t>H</t>
  </si>
  <si>
    <t>Altitude</t>
  </si>
  <si>
    <t>pente</t>
  </si>
  <si>
    <t>%</t>
  </si>
  <si>
    <t>angle</t>
  </si>
  <si>
    <t>degré</t>
  </si>
  <si>
    <t>radian</t>
  </si>
  <si>
    <t>erreur</t>
  </si>
  <si>
    <t>(DO-DS)/DO</t>
  </si>
  <si>
    <t>Vitesse</t>
  </si>
  <si>
    <t>KT</t>
  </si>
  <si>
    <t>Nœuds</t>
  </si>
  <si>
    <t>km/h</t>
  </si>
  <si>
    <t>NM / h</t>
  </si>
  <si>
    <t>Distance</t>
  </si>
  <si>
    <t>NM / min</t>
  </si>
  <si>
    <t xml:space="preserve"> / 60</t>
  </si>
  <si>
    <t>km / min</t>
  </si>
  <si>
    <t>min</t>
  </si>
  <si>
    <t>D</t>
  </si>
  <si>
    <t>V</t>
  </si>
  <si>
    <t>T</t>
  </si>
  <si>
    <t>D = V *  T</t>
  </si>
  <si>
    <t>"</t>
  </si>
  <si>
    <t/>
  </si>
  <si>
    <t>Tsesonde</t>
  </si>
  <si>
    <t>Tminute</t>
  </si>
  <si>
    <t>Unités en aéronautique</t>
  </si>
  <si>
    <t>DISTANCES:</t>
  </si>
  <si>
    <t>Triangle rectangle, pente</t>
  </si>
  <si>
    <t>ZONE de saisie sur fond jaune !</t>
  </si>
  <si>
    <t>altitude en pieds</t>
  </si>
  <si>
    <t>HD</t>
  </si>
  <si>
    <t>RVR en mètres</t>
  </si>
  <si>
    <t>Distance en NM</t>
  </si>
  <si>
    <t>Aéronautique</t>
  </si>
  <si>
    <t>Vitesse / durée / distance :</t>
  </si>
  <si>
    <t>altitude</t>
  </si>
  <si>
    <t>Nb bits</t>
  </si>
  <si>
    <t>dynamique dB</t>
  </si>
  <si>
    <t>à</t>
  </si>
  <si>
    <t>mV</t>
  </si>
  <si>
    <t>VIDEO</t>
  </si>
  <si>
    <t>RTC</t>
  </si>
  <si>
    <t>dB</t>
  </si>
  <si>
    <t>*</t>
  </si>
  <si>
    <t>=</t>
  </si>
  <si>
    <t>6 dB</t>
  </si>
  <si>
    <t>ratio base 2</t>
  </si>
  <si>
    <t>bits</t>
  </si>
  <si>
    <t>N bits</t>
  </si>
  <si>
    <t>combinaisons</t>
  </si>
  <si>
    <t>CAN 8 Bits</t>
  </si>
  <si>
    <t>CAN 13 bits</t>
  </si>
  <si>
    <t>Glide ILS</t>
  </si>
  <si>
    <t>Localizer ILS</t>
  </si>
  <si>
    <t>DDM</t>
  </si>
  <si>
    <t>degrés</t>
  </si>
  <si>
    <t>20*LOG(ratio)</t>
  </si>
  <si>
    <t>par OCTAVE 6 dB</t>
  </si>
  <si>
    <t>Pieds</t>
  </si>
  <si>
    <t>CAN 6 Bits Meteosat</t>
  </si>
  <si>
    <t>VOR 12 bits</t>
  </si>
  <si>
    <t>Radio altimètre 16 bits</t>
  </si>
  <si>
    <r>
      <t xml:space="preserve">CAN 23 Bits </t>
    </r>
    <r>
      <rPr>
        <sz val="10"/>
        <rFont val="Symbol"/>
        <family val="1"/>
      </rPr>
      <t>SD</t>
    </r>
  </si>
  <si>
    <r>
      <t>10</t>
    </r>
    <r>
      <rPr>
        <sz val="10"/>
        <rFont val="Symbol"/>
        <family val="1"/>
      </rPr>
      <t>m</t>
    </r>
    <r>
      <rPr>
        <sz val="10"/>
        <rFont val="Arial"/>
        <family val="0"/>
      </rPr>
      <t>V à 100V</t>
    </r>
  </si>
  <si>
    <t>Pleine Echelle</t>
  </si>
  <si>
    <t>Sensibilité, LSB, quantum</t>
  </si>
  <si>
    <t>A</t>
  </si>
  <si>
    <t>Pince Ampéremètrique</t>
  </si>
  <si>
    <t>GPS</t>
  </si>
  <si>
    <t>Laser</t>
  </si>
  <si>
    <t>m</t>
  </si>
  <si>
    <t>bits nécessaires</t>
  </si>
  <si>
    <t>HD, Hauteur de Décision</t>
  </si>
  <si>
    <t>Portée Visuelle de piste</t>
  </si>
  <si>
    <t>Constantes</t>
  </si>
  <si>
    <t>Gaz parfait</t>
  </si>
  <si>
    <t>Air</t>
  </si>
  <si>
    <t>g (N/kg ou ms-2)</t>
  </si>
  <si>
    <t>P(0) ISA (hPa)</t>
  </si>
  <si>
    <t>T(0) ISA (K)</t>
  </si>
  <si>
    <t>Gamma AIR</t>
  </si>
  <si>
    <t>R (U.S.I.)</t>
  </si>
  <si>
    <t>Masse Molaire M (kg/mol)</t>
  </si>
  <si>
    <t>Rau(0) (kg/m3)</t>
  </si>
  <si>
    <t>a(0) vitesse son (m/s)</t>
  </si>
  <si>
    <t>gam/gam-1</t>
  </si>
  <si>
    <t>Mg/R</t>
  </si>
  <si>
    <t>dT/dz ( °C/1000ft )</t>
  </si>
  <si>
    <t>R terre</t>
  </si>
  <si>
    <t>(km)</t>
  </si>
  <si>
    <t>CONVERSIONS</t>
  </si>
  <si>
    <t>Rgaz =</t>
  </si>
  <si>
    <t>287m2/s2/K</t>
  </si>
  <si>
    <t>10% HUMIDITE !</t>
  </si>
  <si>
    <t>1 mètre</t>
  </si>
  <si>
    <t>1 NM</t>
  </si>
  <si>
    <t>1 pied (ft)</t>
  </si>
  <si>
    <t>1 psi</t>
  </si>
  <si>
    <t>1 mmHg</t>
  </si>
  <si>
    <t>ZONE DE ZAISIE SUR FOND JAUNE</t>
  </si>
  <si>
    <t>Mille Marin (NM)</t>
  </si>
  <si>
    <t>hPa ou bar</t>
  </si>
  <si>
    <t>hPa</t>
  </si>
  <si>
    <t>REGLAGE ALTI</t>
  </si>
  <si>
    <t xml:space="preserve"> + 15 °C</t>
  </si>
  <si>
    <t>terrain1</t>
  </si>
  <si>
    <t>STD 1013</t>
  </si>
  <si>
    <t>QNH terrain1</t>
  </si>
  <si>
    <t>QFE terrain1</t>
  </si>
  <si>
    <t>QFE terrain2</t>
  </si>
  <si>
    <t>AUTRE</t>
  </si>
  <si>
    <t>altitude (ft)</t>
  </si>
  <si>
    <t>altitude (m)</t>
  </si>
  <si>
    <t>Tisa°C</t>
  </si>
  <si>
    <t>Tisa(K)</t>
  </si>
  <si>
    <t>Treel (K)</t>
  </si>
  <si>
    <t>Pisa (z)</t>
  </si>
  <si>
    <t>P(z,QNH)</t>
  </si>
  <si>
    <t>P(z,Tz0,Pz0)</t>
  </si>
  <si>
    <t>QNH (hPa)</t>
  </si>
  <si>
    <t>Pz0</t>
  </si>
  <si>
    <t>indication alti</t>
  </si>
  <si>
    <t>Z(ft) QNE</t>
  </si>
  <si>
    <t>Zqnh (ft)</t>
  </si>
  <si>
    <t>Zqfe (ft)</t>
  </si>
  <si>
    <t>Z (ft)</t>
  </si>
  <si>
    <t>Delta ISA (°C)</t>
  </si>
  <si>
    <t>niveau 1</t>
  </si>
  <si>
    <t>Tz0 (K )</t>
  </si>
  <si>
    <t>Tz0</t>
  </si>
  <si>
    <t>mer</t>
  </si>
  <si>
    <t>Pstandard ( hPa )</t>
  </si>
  <si>
    <t>terrain 1</t>
  </si>
  <si>
    <t>terrain 2</t>
  </si>
  <si>
    <t>avion 1</t>
  </si>
  <si>
    <t>avion 2</t>
  </si>
  <si>
    <t>maxi</t>
  </si>
  <si>
    <t>TP découverte Avionique et RadioNavigation</t>
  </si>
  <si>
    <t>Utilisez la feuille de calcul "Altimètre" pour valider les exercices de Travaux Dirigés d'Avionique</t>
  </si>
  <si>
    <t>De même, utilisez l'outil développé avec LABView pour valider les exercices de Travaux Dirigés d'Avionique</t>
  </si>
  <si>
    <t>MANUELS MAINTENANCE</t>
  </si>
  <si>
    <t>ABM</t>
  </si>
  <si>
    <t>APU Build-up Manual</t>
  </si>
  <si>
    <t>procédures d'assemblage de l'APU en vue de l'installation sur avion</t>
  </si>
  <si>
    <t>AC</t>
  </si>
  <si>
    <t>Aircraft Characteristics airport planning</t>
  </si>
  <si>
    <t>données permettant de planifier l'utilisation des aménagements aéroportuaires</t>
  </si>
  <si>
    <t>AMM</t>
  </si>
  <si>
    <t>Aircraft Maintenance Manual</t>
  </si>
  <si>
    <t>infos pour la maintenance de l'avion</t>
  </si>
  <si>
    <t>ARM</t>
  </si>
  <si>
    <t>Aircraft Recovery Manual</t>
  </si>
  <si>
    <t>infos pour planifier de façon optimum la préparation et les actions pour lever, déplacer et dégager un avion pouvant interrompre le traffic</t>
  </si>
  <si>
    <t>ASM</t>
  </si>
  <si>
    <t>Aircraft Schematic Manual</t>
  </si>
  <si>
    <t>ensemble des schémas électriques</t>
  </si>
  <si>
    <t>ASPM</t>
  </si>
  <si>
    <t>Aircraft Deactivation Procedure Manual</t>
  </si>
  <si>
    <t>procédures de désactivation en accord avec le MMEL (systèmes) et la CDL (structure) ; extrait de l'AMM</t>
  </si>
  <si>
    <t>AWL</t>
  </si>
  <si>
    <t>Aircraft Wiring List</t>
  </si>
  <si>
    <t>liste des câblages électriques</t>
  </si>
  <si>
    <t>AWM</t>
  </si>
  <si>
    <t>Aircraft Wiring Manual</t>
  </si>
  <si>
    <t>ensemble des plans de câblages électriques</t>
  </si>
  <si>
    <t>CLM</t>
  </si>
  <si>
    <t>Component Location Manual</t>
  </si>
  <si>
    <t>localisation des équipements sur avion ; extrait de l'AMM</t>
  </si>
  <si>
    <t>CLS</t>
  </si>
  <si>
    <t>Cargo Loading Manual</t>
  </si>
  <si>
    <t>infos pour les chargements des soutes</t>
  </si>
  <si>
    <t>CML</t>
  </si>
  <si>
    <t>Consumable Equipment List</t>
  </si>
  <si>
    <t>fournit la correspondance entre le code dans l'AMM et la référence, la désignation et les infos sur le produit</t>
  </si>
  <si>
    <t>DRM</t>
  </si>
  <si>
    <t>Duct Repair Manual</t>
  </si>
  <si>
    <t>Permet d'évaluer les dégâts sur les tuyauteries et de donner les procédures de réparations</t>
  </si>
  <si>
    <t>EDB</t>
  </si>
  <si>
    <t>ECAM Data Book</t>
  </si>
  <si>
    <t>totalité des messages affichés sur l'ECAM</t>
  </si>
  <si>
    <t>FPRM</t>
  </si>
  <si>
    <t>Fuel Pipe Repair Manual</t>
  </si>
  <si>
    <t>procédures de réparation des tuyauteries carburant</t>
  </si>
  <si>
    <t>FRM + FIM</t>
  </si>
  <si>
    <t>Fault Reporting Manual + Fault Isolation Manual</t>
  </si>
  <si>
    <t>permet à l'équipage d'analyser et agir à la vue des codes de panne</t>
  </si>
  <si>
    <t>IPC</t>
  </si>
  <si>
    <t>Illustrated Part Catalog</t>
  </si>
  <si>
    <t>catalogue des pièces avions</t>
  </si>
  <si>
    <t>JIC</t>
  </si>
  <si>
    <t>Job Instruction Card</t>
  </si>
  <si>
    <t>fournit la procédure de maintenance à effectuer sur avion à partir de l'AMM</t>
  </si>
  <si>
    <t>MCCIR</t>
  </si>
  <si>
    <t>Maintenance Cargo Compartment Inspection Report</t>
  </si>
  <si>
    <t>données pour assister l'opérateurlors d'inspection de la soute pour le remplacement ou la réparation des panneaux</t>
  </si>
  <si>
    <t>MFP</t>
  </si>
  <si>
    <t>Maintenance Facility Planning</t>
  </si>
  <si>
    <t>fournit les infos préliminaires à la maintenance : dimensions, poids, encombrement en hangar de l'avion, consignes de sécurité, …</t>
  </si>
  <si>
    <t>MPD</t>
  </si>
  <si>
    <t>Maintenance Planning Document</t>
  </si>
  <si>
    <t>fournit l'ensemble des tâches de maintenance à effectuer dans le cadre de la maintenance programmée ; issue du MRB (Maintenance Review Book) : résultat des analyses MSG3</t>
  </si>
  <si>
    <t>PBM</t>
  </si>
  <si>
    <t>Power plant Build-up Mannual</t>
  </si>
  <si>
    <t>procédures de dépose/pose des moteurs ; fourni par le motoriste</t>
  </si>
  <si>
    <t>PPIPC</t>
  </si>
  <si>
    <t>Power Plant Illustratd Part Catalog</t>
  </si>
  <si>
    <t>Catalogue des pièces moteurs.</t>
  </si>
  <si>
    <t>SES</t>
  </si>
  <si>
    <t>Support Equipment Summary</t>
  </si>
  <si>
    <t>donne la référence des outillages utilisés dans l'AMM</t>
  </si>
  <si>
    <t>TEI</t>
  </si>
  <si>
    <t>Tool and Equipment Index</t>
  </si>
  <si>
    <t>références des plans des outillages et des équipements au sol</t>
  </si>
  <si>
    <t>TEM</t>
  </si>
  <si>
    <t>Tool and Equipment Manual</t>
  </si>
  <si>
    <t>infos sur les outillages spéciaux et les équipements au sol pour l'AMM, le TSM et le NTM</t>
  </si>
  <si>
    <t>TLMC</t>
  </si>
  <si>
    <t>Time Limits and Maintenance Check</t>
  </si>
  <si>
    <t>donne la limite de vie des différentes parties de l'avion en accord avec la FAR 25 et les maintenances programmées issues du MRB ; approuvé par le service officiel</t>
  </si>
  <si>
    <t>TSH</t>
  </si>
  <si>
    <t>Trouble Shooting Handbook</t>
  </si>
  <si>
    <t>procédures de maintenance à partir de pannes CFDS</t>
  </si>
  <si>
    <t>TSM</t>
  </si>
  <si>
    <t>Trouble Shooting Manual</t>
  </si>
  <si>
    <t>permet à partir des messages de pannes, des alarmes et ds observations équipage, de trouver les pannes.</t>
  </si>
  <si>
    <t>MANUELS OPERATIONS</t>
  </si>
  <si>
    <t>CAOM</t>
  </si>
  <si>
    <t>Cabin Attendant Operating Manual</t>
  </si>
  <si>
    <t>infos descriptives et instructions opérationnelles pour le personnel de cabine</t>
  </si>
  <si>
    <t>CL</t>
  </si>
  <si>
    <t>Check List</t>
  </si>
  <si>
    <t>permet au pilote de vérifier la config de l'avion dans les différentes phases de vol. Associé au QRH (Quick Reference Handbook).</t>
  </si>
  <si>
    <t>FCOM</t>
  </si>
  <si>
    <t>Flight Crew Operating Manual</t>
  </si>
  <si>
    <t>vue d'ensemble des systèmes avion. Destiné au personnel navigant ; 4 vol. : description des systèmes, préparation du vol, opérations de vol, guide pilote FMGS.</t>
  </si>
  <si>
    <t>FM</t>
  </si>
  <si>
    <t>Flight Manual</t>
  </si>
  <si>
    <t>Manuel de vol : procédures d'urgence, procédures suite à une panne…</t>
  </si>
  <si>
    <t>LRE</t>
  </si>
  <si>
    <t>List of Radioactive and Hazardous Elements</t>
  </si>
  <si>
    <t>donne aux opérateurs et au personnel de maintenance les risques lors de l'utilisation de substance, de procédures de maintenance</t>
  </si>
  <si>
    <t>MMEL</t>
  </si>
  <si>
    <t>Master Minimum Equipment List</t>
  </si>
  <si>
    <t>liste mini des équipements pour voler</t>
  </si>
  <si>
    <t>NDM</t>
  </si>
  <si>
    <t>Noise Definition Manual</t>
  </si>
  <si>
    <t>donne les niveaux de bruit de l'avion dans les différentes phases de vol</t>
  </si>
  <si>
    <t>PEM</t>
  </si>
  <si>
    <t>Performance Engineer's Manual</t>
  </si>
  <si>
    <t>permet aux compagnies de calculer les conditions optimums de l'avion</t>
  </si>
  <si>
    <t>PPM</t>
  </si>
  <si>
    <t>Performance Program Manual</t>
  </si>
  <si>
    <t>manuel d'utilisation du PEP (Performance Engeneer's Program)</t>
  </si>
  <si>
    <t>WBM</t>
  </si>
  <si>
    <t>Weight and Balance Manual</t>
  </si>
  <si>
    <t>permet aux compagnies de dvper des instructions de chargement grâce aux données fournies : caractéristiques, poids, équilibrage, liste des équipements avec leur poids</t>
  </si>
  <si>
    <t>MANUELS STRUCTURE</t>
  </si>
  <si>
    <t>NTM</t>
  </si>
  <si>
    <t>Non destructive Testing Manual</t>
  </si>
  <si>
    <t>procédures permetant de mettre en évidence les dommages de la structure</t>
  </si>
  <si>
    <t>SRM</t>
  </si>
  <si>
    <t>Structure Repair Manual</t>
  </si>
  <si>
    <t>liste des dommages autorisés, les réparations, les ingrédients, les précautions…</t>
  </si>
  <si>
    <t>MANUELS EQUIPEMENTS</t>
  </si>
  <si>
    <t>CDS</t>
  </si>
  <si>
    <t>Component Documentation Status</t>
  </si>
  <si>
    <t>informations permettant de suivre la remise de la documentation par les équipementiers. Ensuite la CEL donne l'évolution des équipements</t>
  </si>
  <si>
    <t>CEL</t>
  </si>
  <si>
    <t>Component Evolution List</t>
  </si>
  <si>
    <t>fournit les évolutions des équipements (nouveaux P/N, …) et la description des éléments : MTBF, référence du manuel où l'on trouve la description…</t>
  </si>
  <si>
    <t>CFM</t>
  </si>
  <si>
    <t>Cable Fabrication Manual</t>
  </si>
  <si>
    <t>procédures pour réparer ou fabriquer les câbles en acier.</t>
  </si>
  <si>
    <t>CMM</t>
  </si>
  <si>
    <t>Component Maintenance Manual</t>
  </si>
  <si>
    <t>permet d'effectuer la maintenance d'un équipement (en atelier) ; CMMV : Vendor ; CMMM : Manufacturer</t>
  </si>
  <si>
    <t>MANUELS ENGINEERING</t>
  </si>
  <si>
    <t>ELA</t>
  </si>
  <si>
    <t>Electrical Load Analys</t>
  </si>
  <si>
    <t>fournit le bilan électrique en fonction des différentes phases de vol ou conditions particulières</t>
  </si>
  <si>
    <t>PMS</t>
  </si>
  <si>
    <t>Process and Material Specification</t>
  </si>
  <si>
    <t>désignation des ingrédients en fonction des codes donnés dans les manuels de maintenance</t>
  </si>
  <si>
    <t>SM</t>
  </si>
  <si>
    <t>Standards Manual</t>
  </si>
  <si>
    <t>infos sur les standards agréés par Airbus.Les composants ne figurant pas dans ce document ne peuvent pas être utilisés</t>
  </si>
  <si>
    <t>MISCELLANEOUS</t>
  </si>
  <si>
    <t>AIR</t>
  </si>
  <si>
    <t>Aircraft Inspection Report</t>
  </si>
  <si>
    <t>liste complète des équipements installé à bord de l'avion</t>
  </si>
  <si>
    <t>CPCP</t>
  </si>
  <si>
    <t>Corrosion Prevention and Control Program</t>
  </si>
  <si>
    <t>règles de base pour la prévention et le contrôle des déteriorations dues à la corrosion. Utilisé lors des phases de maintenance programmées.</t>
  </si>
  <si>
    <t>SB</t>
  </si>
  <si>
    <t>Service Bulletin</t>
  </si>
  <si>
    <t>infos de modif de l'avion en compagnie</t>
  </si>
  <si>
    <t>VIM/GSE, VIM/V</t>
  </si>
  <si>
    <t>Vendor Information Manual</t>
  </si>
  <si>
    <t>fournit les coordonnées des fournisseurs et partenaires du programme Airbus</t>
  </si>
  <si>
    <t>http://www.digitaldutch.com/atmoscalc/</t>
  </si>
  <si>
    <t>http://www.univ-lemans.fr/enseignements/physique/02.old/divers/altimetre.html</t>
  </si>
  <si>
    <r>
      <t>Les records</t>
    </r>
    <r>
      <rPr>
        <b/>
        <sz val="12"/>
        <rFont val="Arial"/>
        <family val="2"/>
      </rPr>
      <t xml:space="preserve"> .</t>
    </r>
  </si>
  <si>
    <r>
      <t>En France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:</t>
    </r>
  </si>
  <si>
    <t>La plus élevée : 1050 hPa à Paris le 6 Février 1821 .</t>
  </si>
  <si>
    <t>La plus basse : 947 hPa à Boulogne-sur-Mer le 25 Décembre 1821 .</t>
  </si>
  <si>
    <r>
      <t>Dans le monde</t>
    </r>
    <r>
      <rPr>
        <sz val="12"/>
        <rFont val="Arial"/>
        <family val="2"/>
      </rPr>
      <t xml:space="preserve"> :</t>
    </r>
  </si>
  <si>
    <t>La plus élevée : 1083 hPa à Agata ( Sibérie ) le 31 Décembre 1968 .</t>
  </si>
  <si>
    <t>La plus basse : 870 hPa au centre du typhon Joan aux Philippines le 14 Octobre 1970 . </t>
  </si>
  <si>
    <t>TOTAL AIR TEMPERATURE</t>
  </si>
  <si>
    <t>gamma</t>
  </si>
  <si>
    <t>MACH</t>
  </si>
  <si>
    <t>°c</t>
  </si>
  <si>
    <t>T STATIC K</t>
  </si>
  <si>
    <t>T TOTAL °C</t>
  </si>
  <si>
    <t>TROPOPAUSE</t>
  </si>
  <si>
    <t>Delta ISA</t>
  </si>
  <si>
    <t>T(0)delta</t>
  </si>
  <si>
    <t>P(0)QNH</t>
  </si>
  <si>
    <t>Zmin_min artic    (km)</t>
  </si>
  <si>
    <t>Pente_ARTIC_SOL (K km-1)</t>
  </si>
  <si>
    <r>
      <rPr>
        <b/>
        <sz val="18"/>
        <color indexed="10"/>
        <rFont val="Arial"/>
        <family val="2"/>
      </rPr>
      <t>PANNE PITOT OU ESSAIS AVEC PTOTALE NON BRANCHEE</t>
    </r>
  </si>
  <si>
    <t>R/M</t>
  </si>
  <si>
    <t>(K)</t>
  </si>
  <si>
    <t>(hPa)</t>
  </si>
  <si>
    <t>R/M =</t>
  </si>
  <si>
    <t>J kg-1 K-1</t>
  </si>
  <si>
    <t>MODELE TEMP ISA+/- pour 101325 Nm-2</t>
  </si>
  <si>
    <t>ARTIQUE</t>
  </si>
  <si>
    <t>ISA -</t>
  </si>
  <si>
    <t>EUROPE ISA</t>
  </si>
  <si>
    <t>ISA+</t>
  </si>
  <si>
    <t>TROPIQUE</t>
  </si>
  <si>
    <t>IAS (KT)</t>
  </si>
  <si>
    <r>
      <t>m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/s</t>
    </r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/K</t>
    </r>
  </si>
  <si>
    <t>Ê</t>
  </si>
  <si>
    <t>SQRT( Gamma R / M )</t>
  </si>
  <si>
    <t>T iso TROPOPAUSE (°C)</t>
  </si>
  <si>
    <t>Pente dT/dz = en °K/1000ft</t>
  </si>
  <si>
    <t xml:space="preserve">choisir PALIER altitude z </t>
  </si>
  <si>
    <t>a = SQRT(gamma R T / M )</t>
  </si>
  <si>
    <t>Z TROPOPAUSE</t>
  </si>
  <si>
    <t>QNH</t>
  </si>
  <si>
    <t>°C/m</t>
  </si>
  <si>
    <t>KT / SQRT(K)</t>
  </si>
  <si>
    <t>pente1 (K km-1)</t>
  </si>
  <si>
    <r>
      <rPr>
        <b/>
        <sz val="12"/>
        <color indexed="10"/>
        <rFont val="Arial"/>
        <family val="2"/>
      </rPr>
      <t>PANNE</t>
    </r>
    <r>
      <rPr>
        <b/>
        <sz val="8"/>
        <color indexed="10"/>
        <rFont val="Arial"/>
        <family val="2"/>
      </rPr>
      <t xml:space="preserve"> PITOT OU ESSAIS AVEC PTOTALE NON BRANCHEE</t>
    </r>
  </si>
  <si>
    <t>masse volumique Air SEC</t>
  </si>
  <si>
    <t>DETA t ISA</t>
  </si>
  <si>
    <t>°K</t>
  </si>
  <si>
    <t>°C/km</t>
  </si>
  <si>
    <t>ISA  NORMALISE</t>
  </si>
  <si>
    <t>T0 (km)</t>
  </si>
  <si>
    <t>atmosphere ISA</t>
  </si>
  <si>
    <t>si Ptotale = QFE =</t>
  </si>
  <si>
    <t>pesanteur</t>
  </si>
  <si>
    <t>?</t>
  </si>
  <si>
    <t>CORRIGE</t>
  </si>
  <si>
    <t>*1/1000</t>
  </si>
  <si>
    <t>Vbadin, Vindiquée CONSTANTE</t>
  </si>
  <si>
    <t>KT ou m/s au choix !</t>
  </si>
  <si>
    <t>FORMULE</t>
  </si>
  <si>
    <t>ISA</t>
  </si>
  <si>
    <t>CONSTANT</t>
  </si>
  <si>
    <t>FPM</t>
  </si>
  <si>
    <t>THEORIE SIMPLE</t>
  </si>
  <si>
    <t>SEUIL</t>
  </si>
  <si>
    <t>RAPPEL</t>
  </si>
  <si>
    <t>densité</t>
  </si>
  <si>
    <t>Zmin artic (km)</t>
  </si>
  <si>
    <t>rau</t>
  </si>
  <si>
    <t>TAS</t>
  </si>
  <si>
    <t>Ptotale</t>
  </si>
  <si>
    <t>Pdyn</t>
  </si>
  <si>
    <t>vitesse IAS si Ptotale = QFE</t>
  </si>
  <si>
    <t>g</t>
  </si>
  <si>
    <t>h</t>
  </si>
  <si>
    <t>z</t>
  </si>
  <si>
    <t>p(g) ISA</t>
  </si>
  <si>
    <t>p ISA</t>
  </si>
  <si>
    <t>T ISA</t>
  </si>
  <si>
    <t>Tc</t>
  </si>
  <si>
    <t>TF</t>
  </si>
  <si>
    <t>Rau</t>
  </si>
  <si>
    <t>Vsol</t>
  </si>
  <si>
    <t>P Aéro</t>
  </si>
  <si>
    <t>p Delta ISA</t>
  </si>
  <si>
    <t>T Delta ISA</t>
  </si>
  <si>
    <t>dz/dP</t>
  </si>
  <si>
    <t>ISO Mach</t>
  </si>
  <si>
    <t xml:space="preserve">a son </t>
  </si>
  <si>
    <t xml:space="preserve">a </t>
  </si>
  <si>
    <t>a</t>
  </si>
  <si>
    <t>T -2/1000ft</t>
  </si>
  <si>
    <t>z choisi</t>
  </si>
  <si>
    <t>FLIGHT LEVEL</t>
  </si>
  <si>
    <t>z / Zmax</t>
  </si>
  <si>
    <t>T/T0</t>
  </si>
  <si>
    <t>P</t>
  </si>
  <si>
    <t>P/P0</t>
  </si>
  <si>
    <t>a son</t>
  </si>
  <si>
    <t>a/a0</t>
  </si>
  <si>
    <t>RAU</t>
  </si>
  <si>
    <t>RAU/RAU0</t>
  </si>
  <si>
    <t>sqrt( d )</t>
  </si>
  <si>
    <t>Z</t>
  </si>
  <si>
    <t>Tartic(z)</t>
  </si>
  <si>
    <t>T&lt;Tisa</t>
  </si>
  <si>
    <t>T isa</t>
  </si>
  <si>
    <t>T&gt;Tisa</t>
  </si>
  <si>
    <t>T tropique</t>
  </si>
  <si>
    <t>m/s</t>
  </si>
  <si>
    <t>(ms-2)</t>
  </si>
  <si>
    <t>(m)</t>
  </si>
  <si>
    <t>(foot)</t>
  </si>
  <si>
    <t>(°C)</t>
  </si>
  <si>
    <t>(°F)</t>
  </si>
  <si>
    <t>(kg/m3)</t>
  </si>
  <si>
    <t>1000d</t>
  </si>
  <si>
    <t>inHg)</t>
  </si>
  <si>
    <t>(mmHg)</t>
  </si>
  <si>
    <t>K</t>
  </si>
  <si>
    <t>ft/hPa</t>
  </si>
  <si>
    <t>(m/s)</t>
  </si>
  <si>
    <t>(km/h)</t>
  </si>
  <si>
    <t>(KT)</t>
  </si>
  <si>
    <t>(ft/min)</t>
  </si>
  <si>
    <t>(ft/s)</t>
  </si>
  <si>
    <t>FL</t>
  </si>
  <si>
    <t>RELATIF</t>
  </si>
  <si>
    <t>kg/m3</t>
  </si>
  <si>
    <t>Vv / Ve</t>
  </si>
  <si>
    <t>°C</t>
  </si>
  <si>
    <t>MODELISATION ATMOSPHERE ISA</t>
  </si>
  <si>
    <t xml:space="preserve"> @dm2005</t>
  </si>
  <si>
    <r>
      <t xml:space="preserve">altitude </t>
    </r>
    <r>
      <rPr>
        <sz val="10"/>
        <color indexed="8"/>
        <rFont val="Arial"/>
        <family val="2"/>
      </rPr>
      <t>(km)</t>
    </r>
  </si>
  <si>
    <t>&lt;P&gt;</t>
  </si>
  <si>
    <t>Pression (hPa)</t>
  </si>
  <si>
    <t>temp (°C)</t>
  </si>
  <si>
    <t>Altitude (pieds)</t>
  </si>
  <si>
    <t>Temp</t>
  </si>
  <si>
    <t>(°K)</t>
  </si>
  <si>
    <t> 15</t>
  </si>
  <si>
    <t>FL  0</t>
  </si>
  <si>
    <t> 9</t>
  </si>
  <si>
    <t>FL 016</t>
  </si>
  <si>
    <t> 7</t>
  </si>
  <si>
    <t> 5</t>
  </si>
  <si>
    <t>FL 050</t>
  </si>
  <si>
    <t> 2</t>
  </si>
  <si>
    <t> -1</t>
  </si>
  <si>
    <t> -3</t>
  </si>
  <si>
    <t>FL 098</t>
  </si>
  <si>
    <t> -6</t>
  </si>
  <si>
    <t> -10</t>
  </si>
  <si>
    <t> -16</t>
  </si>
  <si>
    <t> -23</t>
  </si>
  <si>
    <t> -31</t>
  </si>
  <si>
    <t>FL 230</t>
  </si>
  <si>
    <t> -38</t>
  </si>
  <si>
    <t> -41</t>
  </si>
  <si>
    <t> -51</t>
  </si>
  <si>
    <t> -55</t>
  </si>
  <si>
    <t> -56</t>
  </si>
  <si>
    <t>FL 492</t>
  </si>
  <si>
    <t> -46</t>
  </si>
  <si>
    <t> -5</t>
  </si>
  <si>
    <t> +1</t>
  </si>
  <si>
    <t>FL 1640</t>
  </si>
  <si>
    <t>DME</t>
  </si>
  <si>
    <t>RADIO ALTIMETRE</t>
  </si>
  <si>
    <t>DetaF</t>
  </si>
  <si>
    <t>MHz</t>
  </si>
  <si>
    <r>
      <t>Fe</t>
    </r>
    <r>
      <rPr>
        <b/>
        <sz val="8"/>
        <rFont val="Arial"/>
        <family val="2"/>
      </rPr>
      <t>min</t>
    </r>
  </si>
  <si>
    <t>1 miles = 1609 mètres</t>
  </si>
  <si>
    <t xml:space="preserve">AID = </t>
  </si>
  <si>
    <t>Fb= F2 - F1</t>
  </si>
  <si>
    <t>kHz</t>
  </si>
  <si>
    <t xml:space="preserve">K = z/Tm </t>
  </si>
  <si>
    <r>
      <t>en ft/</t>
    </r>
    <r>
      <rPr>
        <b/>
        <sz val="8"/>
        <rFont val="Symbol"/>
        <family val="1"/>
      </rPr>
      <t>m</t>
    </r>
    <r>
      <rPr>
        <b/>
        <sz val="8"/>
        <rFont val="Arial"/>
        <family val="2"/>
      </rPr>
      <t>s</t>
    </r>
  </si>
  <si>
    <t>1 Nautic Mile = 1 NM = 1 mille marin = 1852 mètres</t>
  </si>
  <si>
    <t>Distance DME en NM</t>
  </si>
  <si>
    <r>
      <t xml:space="preserve">durée onde </t>
    </r>
    <r>
      <rPr>
        <b/>
        <sz val="8"/>
        <rFont val="Symbol"/>
        <family val="1"/>
      </rPr>
      <t>m</t>
    </r>
    <r>
      <rPr>
        <b/>
        <sz val="8"/>
        <rFont val="Arial"/>
        <family val="2"/>
      </rPr>
      <t>s</t>
    </r>
  </si>
  <si>
    <r>
      <t>mode</t>
    </r>
    <r>
      <rPr>
        <b/>
        <sz val="8"/>
        <rFont val="Arial"/>
        <family val="2"/>
      </rPr>
      <t xml:space="preserve"> X ou Y ?</t>
    </r>
  </si>
  <si>
    <r>
      <t>Tmesuré</t>
    </r>
    <r>
      <rPr>
        <sz val="10"/>
        <rFont val="Symbol"/>
        <family val="1"/>
      </rPr>
      <t xml:space="preserve"> m</t>
    </r>
    <r>
      <rPr>
        <sz val="10"/>
        <rFont val="Arial"/>
        <family val="0"/>
      </rPr>
      <t>s</t>
    </r>
  </si>
  <si>
    <t>Altitude Antenne z en pieds</t>
  </si>
  <si>
    <t>Altitude z en NM</t>
  </si>
  <si>
    <t>Altitude z en mètres</t>
  </si>
  <si>
    <t>hauteur ROUE h=z-AID en feet</t>
  </si>
  <si>
    <r>
      <t xml:space="preserve">durée onde 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s</t>
    </r>
  </si>
  <si>
    <t>durée Tm modul ms</t>
  </si>
  <si>
    <t>20 log( 40/z )</t>
  </si>
  <si>
    <t>Codage Tm 16bits</t>
  </si>
  <si>
    <t>Fe(0)</t>
  </si>
  <si>
    <t>Fe(-t1)</t>
  </si>
  <si>
    <t>Fe(t1)</t>
  </si>
  <si>
    <t>Fe(Tm)</t>
  </si>
  <si>
    <t>Fe(Tm+t1)</t>
  </si>
  <si>
    <t>t=0</t>
  </si>
  <si>
    <t>t=-t1</t>
  </si>
  <si>
    <t>t1+</t>
  </si>
  <si>
    <t>Tm+</t>
  </si>
  <si>
    <t>Tm</t>
  </si>
  <si>
    <t>Tm+t1</t>
  </si>
  <si>
    <t>Fr(0)</t>
  </si>
  <si>
    <t>Fr( - t1)</t>
  </si>
  <si>
    <t>Fr(t1)</t>
  </si>
  <si>
    <t>Fr(Tm)</t>
  </si>
  <si>
    <t>Fr(Tm+t1)</t>
  </si>
  <si>
    <t>F2</t>
  </si>
  <si>
    <t xml:space="preserve">dB </t>
  </si>
  <si>
    <r>
      <t xml:space="preserve">Nb 0,5 </t>
    </r>
    <r>
      <rPr>
        <b/>
        <sz val="9"/>
        <rFont val="Symbol"/>
        <family val="1"/>
      </rPr>
      <t>m</t>
    </r>
    <r>
      <rPr>
        <b/>
        <sz val="9"/>
        <rFont val="Arial"/>
        <family val="2"/>
      </rPr>
      <t>s</t>
    </r>
  </si>
  <si>
    <t>Hz</t>
  </si>
  <si>
    <t>x</t>
  </si>
  <si>
    <t>Y</t>
  </si>
  <si>
    <t>X</t>
  </si>
  <si>
    <t xml:space="preserve"> &gt; 50 ou 56 suivant mode X/Y</t>
  </si>
  <si>
    <t>1 pieds = 1 feet = 12 inch = 12 pouces</t>
  </si>
  <si>
    <t>1 pouces = 2,54 cm</t>
  </si>
  <si>
    <t>10 mils = 2,54 mm</t>
  </si>
  <si>
    <t>célérité c = 299 792 km/s</t>
  </si>
  <si>
    <t>MACH = vitesse "du son"</t>
  </si>
  <si>
    <t>La nature du son</t>
  </si>
  <si>
    <t>Le son est en fait un mouvement de vibration des molécules composant l'air. Ces vibrations se transmettent de proche en proche, le son se propage ( le phénomène est appelé onde sonore ).</t>
  </si>
  <si>
    <t xml:space="preserve">La vitesse de propagation du son dépend du milieu dans lequel il se propage et de la température. A 20°C, dans l'air, elle de 340 mètres par seconde soit 1 224 km/h. </t>
  </si>
  <si>
    <t>PRESSION</t>
  </si>
  <si>
    <r>
      <t xml:space="preserve">P : pression en N/m² ( </t>
    </r>
    <r>
      <rPr>
        <b/>
        <sz val="14"/>
        <color indexed="8"/>
        <rFont val="Verdana"/>
        <family val="2"/>
      </rPr>
      <t>1 Pa = 1 N/m²</t>
    </r>
    <r>
      <rPr>
        <sz val="11"/>
        <color indexed="8"/>
        <rFont val="Verdana"/>
        <family val="2"/>
      </rPr>
      <t>)</t>
    </r>
  </si>
  <si>
    <t>F : force en Newton</t>
  </si>
  <si>
    <t>S : surface en m²</t>
  </si>
  <si>
    <r>
      <t xml:space="preserve">La pression est souvent exprimée en bar ( </t>
    </r>
    <r>
      <rPr>
        <b/>
        <sz val="14"/>
        <color indexed="8"/>
        <rFont val="Verdana"/>
        <family val="2"/>
      </rPr>
      <t>1 bar = 10</t>
    </r>
    <r>
      <rPr>
        <b/>
        <vertAlign val="superscript"/>
        <sz val="14"/>
        <color indexed="8"/>
        <rFont val="Verdana"/>
        <family val="2"/>
      </rPr>
      <t>5</t>
    </r>
    <r>
      <rPr>
        <b/>
        <sz val="14"/>
        <color indexed="8"/>
        <rFont val="Verdana"/>
        <family val="2"/>
      </rPr>
      <t xml:space="preserve"> Pa</t>
    </r>
    <r>
      <rPr>
        <sz val="11"/>
        <color indexed="8"/>
        <rFont val="Verdana"/>
        <family val="2"/>
      </rPr>
      <t>)</t>
    </r>
  </si>
  <si>
    <r>
      <t xml:space="preserve">Certains constructeurs utilisent des unités anglo-saxonnes p.s.i ( </t>
    </r>
    <r>
      <rPr>
        <b/>
        <sz val="14"/>
        <color indexed="8"/>
        <rFont val="Verdana"/>
        <family val="2"/>
      </rPr>
      <t xml:space="preserve">1 p.s.i </t>
    </r>
    <r>
      <rPr>
        <b/>
        <sz val="14"/>
        <color indexed="8"/>
        <rFont val="Times New Roman"/>
        <family val="1"/>
      </rPr>
      <t>≈</t>
    </r>
    <r>
      <rPr>
        <b/>
        <sz val="14"/>
        <color indexed="8"/>
        <rFont val="Verdana"/>
        <family val="2"/>
      </rPr>
      <t xml:space="preserve"> 0,07 bar</t>
    </r>
    <r>
      <rPr>
        <sz val="11"/>
        <color indexed="8"/>
        <rFont val="Verdana"/>
        <family val="2"/>
      </rPr>
      <t>)</t>
    </r>
  </si>
  <si>
    <r>
      <t>1 kgf/cm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= 0,981 bar (kgf = kilo-gramme force)</t>
    </r>
  </si>
  <si>
    <r>
      <t>1 PSI = 6 894 N/m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= 6 894 </t>
    </r>
    <r>
      <rPr>
        <sz val="8"/>
        <color indexed="18"/>
        <rFont val="Arial"/>
        <family val="2"/>
      </rPr>
      <t>Pa</t>
    </r>
    <r>
      <rPr>
        <sz val="8"/>
        <color indexed="8"/>
        <rFont val="Arial"/>
        <family val="2"/>
      </rPr>
      <t xml:space="preserve"> (</t>
    </r>
    <r>
      <rPr>
        <sz val="8"/>
        <color indexed="18"/>
        <rFont val="Arial"/>
        <family val="2"/>
      </rPr>
      <t>PSI</t>
    </r>
    <r>
      <rPr>
        <sz val="8"/>
        <color indexed="8"/>
        <rFont val="Arial"/>
        <family val="2"/>
      </rPr>
      <t xml:space="preserve"> = </t>
    </r>
    <r>
      <rPr>
        <i/>
        <sz val="8"/>
        <color indexed="8"/>
        <rFont val="Arial"/>
        <family val="2"/>
      </rPr>
      <t>pound per square inch</t>
    </r>
    <r>
      <rPr>
        <sz val="8"/>
        <color indexed="8"/>
        <rFont val="Arial"/>
        <family val="2"/>
      </rPr>
      <t xml:space="preserve"> = </t>
    </r>
    <r>
      <rPr>
        <i/>
        <sz val="8"/>
        <color indexed="8"/>
        <rFont val="Arial"/>
        <family val="2"/>
      </rPr>
      <t>pound</t>
    </r>
    <r>
      <rPr>
        <sz val="8"/>
        <color indexed="8"/>
        <rFont val="Arial"/>
        <family val="2"/>
      </rPr>
      <t>/</t>
    </r>
    <r>
      <rPr>
        <i/>
        <sz val="8"/>
        <color indexed="8"/>
        <rFont val="Arial"/>
        <family val="2"/>
      </rPr>
      <t>in</t>
    </r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, </t>
    </r>
    <r>
      <rPr>
        <sz val="8"/>
        <color indexed="18"/>
        <rFont val="Arial"/>
        <family val="2"/>
      </rPr>
      <t>livre</t>
    </r>
    <r>
      <rPr>
        <sz val="8"/>
        <color indexed="8"/>
        <rFont val="Arial"/>
        <family val="2"/>
      </rPr>
      <t xml:space="preserve"> par pouce carré, unité anglo-saxonne)</t>
    </r>
  </si>
  <si>
    <t>1 PSI = 0,068 94 bar</t>
  </si>
  <si>
    <r>
      <t>1 atm = 1,01325 x 10</t>
    </r>
    <r>
      <rPr>
        <u val="single"/>
        <vertAlign val="superscript"/>
        <sz val="10"/>
        <color indexed="12"/>
        <rFont val="Arial"/>
        <family val="2"/>
      </rPr>
      <t>5</t>
    </r>
    <r>
      <rPr>
        <u val="single"/>
        <sz val="10"/>
        <color indexed="12"/>
        <rFont val="Arial"/>
        <family val="2"/>
      </rPr>
      <t xml:space="preserve"> Pa (atm = Atmosphère)</t>
    </r>
  </si>
  <si>
    <r>
      <t>1mmHg = 133 Pa (</t>
    </r>
    <r>
      <rPr>
        <sz val="8"/>
        <color indexed="18"/>
        <rFont val="Arial"/>
        <family val="2"/>
      </rPr>
      <t>mmHg</t>
    </r>
    <r>
      <rPr>
        <sz val="8"/>
        <color indexed="8"/>
        <rFont val="Arial"/>
        <family val="2"/>
      </rPr>
      <t xml:space="preserve"> = </t>
    </r>
    <r>
      <rPr>
        <sz val="8"/>
        <color indexed="18"/>
        <rFont val="Arial"/>
        <family val="2"/>
      </rPr>
      <t>millimètre</t>
    </r>
    <r>
      <rPr>
        <sz val="8"/>
        <color indexed="8"/>
        <rFont val="Arial"/>
        <family val="2"/>
      </rPr>
      <t xml:space="preserve"> de </t>
    </r>
    <r>
      <rPr>
        <sz val="8"/>
        <color indexed="18"/>
        <rFont val="Arial"/>
        <family val="2"/>
      </rPr>
      <t>mercure</t>
    </r>
    <r>
      <rPr>
        <sz val="8"/>
        <color indexed="8"/>
        <rFont val="Arial"/>
        <family val="2"/>
      </rPr>
      <t>)</t>
    </r>
  </si>
  <si>
    <r>
      <t>1 bar = 10,32875 m d'eau "Plongée" = 10 * 1,01325 Pa / 9,81 m s</t>
    </r>
    <r>
      <rPr>
        <vertAlign val="superscript"/>
        <sz val="8"/>
        <color indexed="8"/>
        <rFont val="Arial"/>
        <family val="2"/>
      </rPr>
      <t>-2</t>
    </r>
  </si>
  <si>
    <r>
      <t xml:space="preserve">Variations de la </t>
    </r>
    <r>
      <rPr>
        <sz val="8"/>
        <color indexed="18"/>
        <rFont val="Arial"/>
        <family val="2"/>
      </rPr>
      <t>pression atmosphérique</t>
    </r>
    <r>
      <rPr>
        <sz val="8"/>
        <color indexed="8"/>
        <rFont val="Arial"/>
        <family val="2"/>
      </rPr>
      <t xml:space="preserve"> et de la </t>
    </r>
    <r>
      <rPr>
        <sz val="8"/>
        <color indexed="18"/>
        <rFont val="Arial"/>
        <family val="2"/>
      </rPr>
      <t>température</t>
    </r>
    <r>
      <rPr>
        <sz val="8"/>
        <color indexed="8"/>
        <rFont val="Arial"/>
        <family val="2"/>
      </rPr>
      <t xml:space="preserve"> extérieure en fonction de l'</t>
    </r>
    <r>
      <rPr>
        <sz val="8"/>
        <color indexed="18"/>
        <rFont val="Arial"/>
        <family val="2"/>
      </rPr>
      <t>altitude</t>
    </r>
    <r>
      <rPr>
        <sz val="8"/>
        <color indexed="8"/>
        <rFont val="Arial"/>
        <family val="2"/>
      </rPr>
      <t xml:space="preserve">. </t>
    </r>
  </si>
  <si>
    <t>À faible altitude, la pression atmosphérique baisse de 1 hPa chaque fois que l'on s'élève de 8 mètres.</t>
  </si>
  <si>
    <t> altitude (km)</t>
  </si>
  <si>
    <t> pression (hPa)</t>
  </si>
  <si>
    <t> température (°C)</t>
  </si>
  <si>
    <r>
      <t>2,5 10</t>
    </r>
    <r>
      <rPr>
        <vertAlign val="superscript"/>
        <sz val="10"/>
        <color indexed="8"/>
        <rFont val="Arial"/>
        <family val="2"/>
      </rPr>
      <t>-2</t>
    </r>
  </si>
  <si>
    <t> -20</t>
  </si>
  <si>
    <r>
      <t>4,0 10</t>
    </r>
    <r>
      <rPr>
        <vertAlign val="superscript"/>
        <sz val="10"/>
        <color indexed="8"/>
        <rFont val="Arial"/>
        <family val="2"/>
      </rPr>
      <t>-4</t>
    </r>
  </si>
  <si>
    <t> -64</t>
  </si>
  <si>
    <r>
      <t>1,3 10</t>
    </r>
    <r>
      <rPr>
        <vertAlign val="superscript"/>
        <sz val="10"/>
        <color indexed="8"/>
        <rFont val="Arial"/>
        <family val="2"/>
      </rPr>
      <t>-6</t>
    </r>
  </si>
  <si>
    <r>
      <t>2,0 10</t>
    </r>
    <r>
      <rPr>
        <vertAlign val="superscript"/>
        <sz val="10"/>
        <color indexed="8"/>
        <rFont val="Arial"/>
        <family val="2"/>
      </rPr>
      <t>-7</t>
    </r>
  </si>
  <si>
    <r>
      <t>4,4 10</t>
    </r>
    <r>
      <rPr>
        <vertAlign val="superscript"/>
        <sz val="10"/>
        <color indexed="8"/>
        <rFont val="Arial"/>
        <family val="2"/>
      </rPr>
      <t>-8</t>
    </r>
  </si>
  <si>
    <r>
      <t>1,1 10</t>
    </r>
    <r>
      <rPr>
        <vertAlign val="superscript"/>
        <sz val="10"/>
        <color indexed="8"/>
        <rFont val="Arial"/>
        <family val="2"/>
      </rPr>
      <t>-8</t>
    </r>
  </si>
  <si>
    <t>ANGLE DESCENTE</t>
  </si>
  <si>
    <r>
      <t xml:space="preserve">degrés </t>
    </r>
    <r>
      <rPr>
        <b/>
        <sz val="18"/>
        <rFont val="Arial"/>
        <family val="2"/>
      </rPr>
      <t>GLIDE</t>
    </r>
  </si>
  <si>
    <t>VARIOMETRE POUR GLIDE ILS</t>
  </si>
  <si>
    <t>pente à</t>
  </si>
  <si>
    <t>sur pente GLIDE</t>
  </si>
  <si>
    <t>VITESSE SOL</t>
  </si>
  <si>
    <t>INDICATION DU VARIOMETRE</t>
  </si>
  <si>
    <t>distance DME</t>
  </si>
  <si>
    <t>m/min</t>
  </si>
  <si>
    <t>ft/min</t>
  </si>
  <si>
    <t>environ ft/min</t>
  </si>
  <si>
    <t>feet</t>
  </si>
  <si>
    <t>34-22-25 - INDICATOR - ISIS (INTEGRATED STANDBY INSTRUMENT SYSTEM)</t>
  </si>
  <si>
    <t>34-43-00 - TRAFFIC AND TERRAIN COLLISION AVOIDANCE SYSTEM</t>
  </si>
  <si>
    <t>34-12-00 - AIR DATA/INERTIAL REFERENCE SYSTEM (ADIRS) ((ADIRU &amp; CDU))</t>
  </si>
  <si>
    <t>34-10-00 - AIR DATA/INERTIAL REFERENCE SYSTEM (ADIRS)</t>
  </si>
  <si>
    <t>27-90-00 - ELECTRICAL FLIGHT CONTROL SYSTEM (EFCS)</t>
  </si>
  <si>
    <t>22-83-34 - FMGEC (FLIGHT MANAGEMENT, GUIDANCE AND ENVELOPE COMPUTER)</t>
  </si>
  <si>
    <t>22-62-00 - FLIGHT ENVELOPE COMPUTATION</t>
  </si>
  <si>
    <t>22-30-00 – AUTOTHRUST</t>
  </si>
  <si>
    <t>27-23-00 - RUDDER AND PEDAL TRAVEL LIMITING ACTUATION</t>
  </si>
  <si>
    <t>27-93-00 - FLIGHT CONTROL PRIMARY COMPUTER (FCPC)</t>
  </si>
  <si>
    <t>34-11-15 - PROBE – PITOT</t>
  </si>
  <si>
    <t>27-93-34 - FCPC (FLIGHT CONTROL PRIMARY COMPUTER)</t>
  </si>
  <si>
    <t>21-31-00 - PRESSURE CONTROL AND MONITORING</t>
  </si>
  <si>
    <t>27-91-00 - OPERATIONAL CONFIGURATION (F/Ctl Altn law)</t>
  </si>
  <si>
    <t>utiliser l'interface sur ce lien</t>
  </si>
  <si>
    <t>De même, utilisez les outils du web pour valider les exercices de Travaux Dirigés d'Avionique</t>
  </si>
  <si>
    <t>durée: 2h50</t>
  </si>
  <si>
    <t>DEMARCHE TP:</t>
  </si>
  <si>
    <t>fournir une version du compte rendu au format pdf ( acrobat reader )</t>
  </si>
  <si>
    <t xml:space="preserve">LANCER l'utilitaire </t>
  </si>
  <si>
    <t>atmoscalc.exe</t>
  </si>
  <si>
    <t>traiter les exercices QCM des TD avionique pages 9 à 12</t>
  </si>
  <si>
    <t xml:space="preserve">Justifier la réponse aux exercices par des choix judicieux des paramètres </t>
  </si>
  <si>
    <t>En analysant les formules de l'onglet "Altimètre" de la feuille de calcul EXCEL, exprimez la relation z=f(tem°C, QNH)</t>
  </si>
  <si>
    <t>Enseignants:</t>
  </si>
  <si>
    <t>O DEVOS / D MICHAUD</t>
  </si>
  <si>
    <t xml:space="preserve">Rédiger un compte rendu avec OPEN Office Writer + PAINT </t>
  </si>
  <si>
    <t>Le premier exercice doit être traité avec les 5 outils</t>
  </si>
  <si>
    <t>Eteindre l'ordinateur</t>
  </si>
  <si>
    <t>http://www.luizmonteiro.com/</t>
  </si>
  <si>
    <t>Voir aussi</t>
  </si>
  <si>
    <t>voici 5 outils proposés: Grille EXCEL, Executable Labview, atmoscalc.exe , et les 2 liens internet</t>
  </si>
  <si>
    <t>http://www.maintenance-aeronautique.com/</t>
  </si>
  <si>
    <t xml:space="preserve">http://www.u-bordeaux1.fr/ </t>
  </si>
  <si>
    <t>Tstd</t>
  </si>
  <si>
    <t>Tsta - Tstd</t>
  </si>
  <si>
    <t>statique reel</t>
  </si>
  <si>
    <t>Tsta</t>
  </si>
  <si>
    <t>Pour une altitude donnée et une température, on obtient l'écart par rapport au modèle STANDARD ISA</t>
  </si>
  <si>
    <t>standard</t>
  </si>
  <si>
    <t>QNH 1013 standard</t>
  </si>
  <si>
    <t>Tsta/Tstd</t>
  </si>
  <si>
    <t>rapport</t>
  </si>
  <si>
    <t>déposer votre compte rendu sur votre ENT Ulysse MEC541 ou O5MQ5005</t>
  </si>
  <si>
    <t>Année 2013-2014</t>
  </si>
  <si>
    <t>LICENCE 3 GSAT et LICENCE Pro Maintenance Aéronautique O5MQ5005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</si>
</sst>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"/>
    <numFmt numFmtId="166" formatCode="0.00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0.00000"/>
    <numFmt numFmtId="172" formatCode="&quot;FL&quot;\ #,##0"/>
    <numFmt numFmtId="173" formatCode="#,##0.0"/>
  </numFmts>
  <fonts count="149">
    <font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22"/>
      <color indexed="10"/>
      <name val="Arial"/>
      <family val="2"/>
    </font>
    <font>
      <b/>
      <i/>
      <sz val="20"/>
      <color indexed="10"/>
      <name val="Arial"/>
      <family val="2"/>
    </font>
    <font>
      <b/>
      <sz val="22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10"/>
      <name val="Symbol"/>
      <family val="1"/>
    </font>
    <font>
      <sz val="12"/>
      <name val="Arial"/>
      <family val="2"/>
    </font>
    <font>
      <sz val="9"/>
      <name val="Arial"/>
      <family val="2"/>
    </font>
    <font>
      <sz val="10"/>
      <color indexed="61"/>
      <name val="Arial"/>
      <family val="2"/>
    </font>
    <font>
      <b/>
      <sz val="6"/>
      <color indexed="9"/>
      <name val="Times New Roman"/>
      <family val="1"/>
    </font>
    <font>
      <sz val="6"/>
      <name val="Times New Roman"/>
      <family val="1"/>
    </font>
    <font>
      <b/>
      <sz val="8"/>
      <color indexed="9"/>
      <name val="Arial"/>
      <family val="2"/>
    </font>
    <font>
      <b/>
      <sz val="22"/>
      <color indexed="48"/>
      <name val="Arial"/>
      <family val="2"/>
    </font>
    <font>
      <b/>
      <i/>
      <sz val="18"/>
      <color indexed="48"/>
      <name val="Arial"/>
      <family val="2"/>
    </font>
    <font>
      <b/>
      <sz val="14"/>
      <name val="Arial"/>
      <family val="2"/>
    </font>
    <font>
      <b/>
      <sz val="10"/>
      <color indexed="61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8"/>
      <color indexed="10"/>
      <name val="Arial"/>
      <family val="2"/>
    </font>
    <font>
      <b/>
      <sz val="6"/>
      <name val="Times New Roman"/>
      <family val="1"/>
    </font>
    <font>
      <sz val="12"/>
      <name val="Times New Roman"/>
      <family val="1"/>
    </font>
    <font>
      <vertAlign val="superscript"/>
      <sz val="8"/>
      <name val="Arial"/>
      <family val="2"/>
    </font>
    <font>
      <sz val="22"/>
      <name val="Wingdings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color indexed="13"/>
      <name val="Arial"/>
      <family val="2"/>
    </font>
    <font>
      <sz val="9"/>
      <name val="Times New Roman"/>
      <family val="1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i/>
      <sz val="9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55"/>
      <name val="Arial"/>
      <family val="2"/>
    </font>
    <font>
      <b/>
      <sz val="10"/>
      <color indexed="8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i/>
      <sz val="9"/>
      <color indexed="60"/>
      <name val="Arial"/>
      <family val="2"/>
    </font>
    <font>
      <b/>
      <sz val="12"/>
      <color indexed="60"/>
      <name val="Arial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36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Symbol"/>
      <family val="1"/>
    </font>
    <font>
      <b/>
      <sz val="6"/>
      <name val="Arial"/>
      <family val="2"/>
    </font>
    <font>
      <b/>
      <sz val="9"/>
      <name val="Symbol"/>
      <family val="1"/>
    </font>
    <font>
      <b/>
      <sz val="10"/>
      <color indexed="48"/>
      <name val="Arial"/>
      <family val="2"/>
    </font>
    <font>
      <sz val="14"/>
      <color indexed="8"/>
      <name val="Arial"/>
      <family val="2"/>
    </font>
    <font>
      <b/>
      <sz val="12"/>
      <name val="Tahoma"/>
      <family val="2"/>
    </font>
    <font>
      <b/>
      <sz val="20"/>
      <color indexed="10"/>
      <name val="Arial"/>
      <family val="2"/>
    </font>
    <font>
      <sz val="11"/>
      <color indexed="8"/>
      <name val="Verdana"/>
      <family val="2"/>
    </font>
    <font>
      <b/>
      <sz val="14"/>
      <color indexed="8"/>
      <name val="Verdana"/>
      <family val="2"/>
    </font>
    <font>
      <b/>
      <vertAlign val="superscript"/>
      <sz val="14"/>
      <color indexed="8"/>
      <name val="Verdana"/>
      <family val="2"/>
    </font>
    <font>
      <b/>
      <sz val="14"/>
      <color indexed="8"/>
      <name val="Times New Roman"/>
      <family val="1"/>
    </font>
    <font>
      <vertAlign val="superscript"/>
      <sz val="8"/>
      <color indexed="8"/>
      <name val="Arial"/>
      <family val="2"/>
    </font>
    <font>
      <sz val="8"/>
      <color indexed="18"/>
      <name val="Arial"/>
      <family val="2"/>
    </font>
    <font>
      <i/>
      <sz val="8"/>
      <color indexed="8"/>
      <name val="Arial"/>
      <family val="2"/>
    </font>
    <font>
      <u val="single"/>
      <vertAlign val="superscript"/>
      <sz val="10"/>
      <color indexed="12"/>
      <name val="Arial"/>
      <family val="2"/>
    </font>
    <font>
      <vertAlign val="superscript"/>
      <sz val="10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26"/>
      <name val="Tahoma"/>
      <family val="2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62"/>
      <name val="Arial"/>
      <family val="2"/>
    </font>
    <font>
      <b/>
      <u val="single"/>
      <sz val="14"/>
      <color indexed="8"/>
      <name val="Arial"/>
      <family val="2"/>
    </font>
    <font>
      <b/>
      <i/>
      <sz val="14"/>
      <color indexed="4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18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theme="3" tint="0.39998000860214233"/>
      <name val="Arial"/>
      <family val="2"/>
    </font>
    <font>
      <sz val="10"/>
      <color rgb="FF000000"/>
      <name val="Arial"/>
      <family val="2"/>
    </font>
    <font>
      <b/>
      <u val="single"/>
      <sz val="14"/>
      <color theme="1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medium"/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medium"/>
      <top style="thick">
        <color rgb="FFFF0000"/>
      </top>
      <bottom style="thick">
        <color rgb="FFFF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thick">
        <color indexed="48"/>
      </left>
      <right style="thick">
        <color indexed="48"/>
      </right>
      <top style="thick">
        <color indexed="48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>
        <color indexed="63"/>
      </bottom>
    </border>
    <border>
      <left style="thick">
        <color indexed="48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>
        <color indexed="63"/>
      </right>
      <top style="thick">
        <color indexed="14"/>
      </top>
      <bottom>
        <color indexed="63"/>
      </bottom>
    </border>
    <border>
      <left>
        <color indexed="63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48"/>
      </right>
      <top style="thick">
        <color indexed="48"/>
      </top>
      <bottom>
        <color indexed="63"/>
      </bottom>
    </border>
    <border>
      <left style="thick">
        <color indexed="15"/>
      </left>
      <right style="thick">
        <color indexed="15"/>
      </right>
      <top>
        <color indexed="63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11"/>
      </left>
      <right style="thick">
        <color indexed="11"/>
      </right>
      <top style="thick">
        <color indexed="11"/>
      </top>
      <bottom style="thick">
        <color indexed="11"/>
      </bottom>
    </border>
    <border>
      <left style="thick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3"/>
      </left>
      <right style="thick">
        <color indexed="1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 style="thick">
        <color indexed="13"/>
      </left>
      <right>
        <color indexed="63"/>
      </right>
      <top style="thick">
        <color indexed="13"/>
      </top>
      <bottom style="thick">
        <color indexed="13"/>
      </bottom>
    </border>
    <border>
      <left style="double">
        <color indexed="11"/>
      </left>
      <right style="double">
        <color indexed="11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n"/>
      <bottom style="thin"/>
    </border>
    <border>
      <left style="thick">
        <color indexed="48"/>
      </left>
      <right style="thick">
        <color indexed="48"/>
      </right>
      <top style="thin"/>
      <bottom style="thin"/>
    </border>
    <border>
      <left style="thick">
        <color indexed="14"/>
      </left>
      <right>
        <color indexed="63"/>
      </right>
      <top style="thin"/>
      <bottom style="thin"/>
    </border>
    <border>
      <left>
        <color indexed="63"/>
      </left>
      <right style="thick">
        <color indexed="14"/>
      </right>
      <top style="thin"/>
      <bottom style="thin"/>
    </border>
    <border>
      <left style="thick">
        <color indexed="14"/>
      </left>
      <right style="thick">
        <color indexed="48"/>
      </right>
      <top style="thin"/>
      <bottom style="thin"/>
    </border>
    <border>
      <left style="double">
        <color indexed="11"/>
      </left>
      <right style="double">
        <color indexed="11"/>
      </right>
      <top style="thin"/>
      <bottom style="thin"/>
    </border>
    <border>
      <left style="thick">
        <color indexed="15"/>
      </left>
      <right style="thick">
        <color indexed="15"/>
      </right>
      <top style="thin"/>
      <bottom style="thin"/>
    </border>
    <border>
      <left>
        <color indexed="63"/>
      </left>
      <right>
        <color indexed="63"/>
      </right>
      <top style="thick">
        <color theme="9" tint="0.5999600291252136"/>
      </top>
      <bottom style="thick">
        <color theme="9" tint="0.5999600291252136"/>
      </bottom>
    </border>
    <border>
      <left style="thick">
        <color indexed="48"/>
      </left>
      <right style="thick">
        <color indexed="48"/>
      </right>
      <top style="thick">
        <color theme="9" tint="0.5999600291252136"/>
      </top>
      <bottom style="thick">
        <color theme="9" tint="0.5999600291252136"/>
      </bottom>
    </border>
    <border>
      <left style="thick">
        <color indexed="14"/>
      </left>
      <right>
        <color indexed="63"/>
      </right>
      <top style="thick">
        <color theme="9" tint="0.5999600291252136"/>
      </top>
      <bottom style="thick">
        <color theme="9" tint="0.5999600291252136"/>
      </bottom>
    </border>
    <border>
      <left>
        <color indexed="63"/>
      </left>
      <right style="thick">
        <color indexed="14"/>
      </right>
      <top style="thick">
        <color theme="9" tint="0.5999600291252136"/>
      </top>
      <bottom style="thick">
        <color theme="9" tint="0.5999600291252136"/>
      </bottom>
    </border>
    <border>
      <left style="thick">
        <color indexed="14"/>
      </left>
      <right style="thick">
        <color indexed="48"/>
      </right>
      <top style="thick">
        <color theme="9" tint="0.5999600291252136"/>
      </top>
      <bottom style="thick">
        <color theme="9" tint="0.5999600291252136"/>
      </bottom>
    </border>
    <border>
      <left style="double">
        <color indexed="11"/>
      </left>
      <right style="double">
        <color indexed="11"/>
      </right>
      <top style="thick">
        <color theme="9" tint="0.5999600291252136"/>
      </top>
      <bottom style="thick">
        <color theme="9" tint="0.5999600291252136"/>
      </bottom>
    </border>
    <border>
      <left style="thick">
        <color indexed="15"/>
      </left>
      <right style="thick">
        <color indexed="15"/>
      </right>
      <top style="thick">
        <color theme="9" tint="0.5999600291252136"/>
      </top>
      <bottom style="thick">
        <color theme="9" tint="0.5999600291252136"/>
      </bottom>
    </border>
    <border>
      <left style="medium"/>
      <right style="medium"/>
      <top style="medium"/>
      <bottom style="medium"/>
    </border>
    <border>
      <left style="thick">
        <color indexed="48"/>
      </left>
      <right style="thick">
        <color indexed="48"/>
      </right>
      <top>
        <color indexed="63"/>
      </top>
      <bottom style="medium"/>
    </border>
    <border>
      <left>
        <color indexed="63"/>
      </left>
      <right style="thick">
        <color indexed="14"/>
      </right>
      <top>
        <color indexed="63"/>
      </top>
      <bottom style="medium"/>
    </border>
    <border>
      <left style="double">
        <color indexed="11"/>
      </left>
      <right style="double">
        <color indexed="11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thick">
        <color indexed="15"/>
      </left>
      <right style="thick">
        <color indexed="15"/>
      </right>
      <top>
        <color indexed="63"/>
      </top>
      <bottom style="thick">
        <color indexed="15"/>
      </bottom>
    </border>
    <border>
      <left style="thick">
        <color indexed="48"/>
      </left>
      <right style="thick">
        <color indexed="48"/>
      </right>
      <top style="thick">
        <color indexed="10"/>
      </top>
      <bottom style="thick">
        <color indexed="10"/>
      </bottom>
    </border>
    <border>
      <left style="thick">
        <color indexed="14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4"/>
      </right>
      <top style="thick">
        <color indexed="10"/>
      </top>
      <bottom style="thick">
        <color indexed="10"/>
      </bottom>
    </border>
    <border>
      <left style="thick">
        <color indexed="14"/>
      </left>
      <right style="thick">
        <color indexed="48"/>
      </right>
      <top style="thick">
        <color indexed="10"/>
      </top>
      <bottom style="thick">
        <color indexed="10"/>
      </bottom>
    </border>
    <border>
      <left style="double">
        <color indexed="11"/>
      </left>
      <right style="double">
        <color indexed="11"/>
      </right>
      <top style="thick">
        <color indexed="10"/>
      </top>
      <bottom style="thick">
        <color indexed="10"/>
      </bottom>
    </border>
    <border>
      <left style="thick">
        <color indexed="48"/>
      </left>
      <right style="thick">
        <color indexed="48"/>
      </right>
      <top>
        <color indexed="63"/>
      </top>
      <bottom style="thick">
        <color indexed="48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48"/>
      </right>
      <top>
        <color indexed="63"/>
      </top>
      <bottom style="thick">
        <color indexed="48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10"/>
      </top>
      <bottom style="thick">
        <color indexed="1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11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>
        <color indexed="63"/>
      </right>
      <top style="medium"/>
      <bottom style="thick">
        <color indexed="11"/>
      </bottom>
    </border>
    <border>
      <left>
        <color indexed="63"/>
      </left>
      <right style="thick">
        <color indexed="11"/>
      </right>
      <top style="medium"/>
      <bottom>
        <color indexed="63"/>
      </bottom>
    </border>
    <border>
      <left style="thick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1"/>
      </top>
      <bottom>
        <color indexed="63"/>
      </bottom>
    </border>
    <border>
      <left>
        <color indexed="63"/>
      </left>
      <right style="medium"/>
      <top style="thick">
        <color indexed="11"/>
      </top>
      <bottom>
        <color indexed="63"/>
      </bottom>
    </border>
    <border>
      <left>
        <color indexed="63"/>
      </left>
      <right style="thick">
        <color indexed="11"/>
      </right>
      <top style="thick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thick">
        <color indexed="11"/>
      </bottom>
    </border>
    <border>
      <left>
        <color indexed="63"/>
      </left>
      <right style="medium"/>
      <top>
        <color indexed="63"/>
      </top>
      <bottom style="thick">
        <color indexed="11"/>
      </bottom>
    </border>
    <border>
      <left>
        <color indexed="63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indexed="11"/>
      </left>
      <right>
        <color indexed="63"/>
      </right>
      <top>
        <color indexed="63"/>
      </top>
      <bottom style="thick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11"/>
      </left>
      <right style="thin">
        <color indexed="11"/>
      </right>
      <top style="thick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 style="thick">
        <color indexed="11"/>
      </top>
      <bottom>
        <color indexed="63"/>
      </bottom>
    </border>
    <border>
      <left style="thin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ck">
        <color indexed="11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>
        <color indexed="11"/>
      </left>
      <right style="thin">
        <color indexed="11"/>
      </right>
      <top>
        <color indexed="63"/>
      </top>
      <bottom style="thick">
        <color indexed="11"/>
      </bottom>
    </border>
    <border>
      <left style="thin">
        <color indexed="11"/>
      </left>
      <right style="thick">
        <color indexed="11"/>
      </right>
      <top>
        <color indexed="63"/>
      </top>
      <bottom style="thick">
        <color indexed="11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ck">
        <color indexed="11"/>
      </bottom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double">
        <color indexed="11"/>
      </left>
      <right style="medium">
        <color indexed="8"/>
      </right>
      <top style="medium"/>
      <bottom>
        <color indexed="63"/>
      </bottom>
    </border>
    <border>
      <left style="double">
        <color indexed="11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4"/>
      </left>
      <right>
        <color indexed="63"/>
      </right>
      <top style="thick">
        <color indexed="11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1"/>
      </bottom>
    </border>
    <border>
      <left style="thick">
        <color indexed="14"/>
      </left>
      <right style="thick">
        <color indexed="14"/>
      </right>
      <top style="thick">
        <color indexed="11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1"/>
      </bottom>
    </border>
    <border>
      <left style="thick">
        <color indexed="14"/>
      </left>
      <right style="thick">
        <color indexed="11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4" fillId="2" borderId="0" applyNumberFormat="0" applyBorder="0" applyAlignment="0" applyProtection="0"/>
    <xf numFmtId="0" fontId="114" fillId="3" borderId="0" applyNumberFormat="0" applyBorder="0" applyAlignment="0" applyProtection="0"/>
    <xf numFmtId="0" fontId="114" fillId="4" borderId="0" applyNumberFormat="0" applyBorder="0" applyAlignment="0" applyProtection="0"/>
    <xf numFmtId="0" fontId="114" fillId="5" borderId="0" applyNumberFormat="0" applyBorder="0" applyAlignment="0" applyProtection="0"/>
    <xf numFmtId="0" fontId="114" fillId="6" borderId="0" applyNumberFormat="0" applyBorder="0" applyAlignment="0" applyProtection="0"/>
    <xf numFmtId="0" fontId="114" fillId="7" borderId="0" applyNumberFormat="0" applyBorder="0" applyAlignment="0" applyProtection="0"/>
    <xf numFmtId="0" fontId="114" fillId="8" borderId="0" applyNumberFormat="0" applyBorder="0" applyAlignment="0" applyProtection="0"/>
    <xf numFmtId="0" fontId="114" fillId="9" borderId="0" applyNumberFormat="0" applyBorder="0" applyAlignment="0" applyProtection="0"/>
    <xf numFmtId="0" fontId="114" fillId="10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13" borderId="0" applyNumberFormat="0" applyBorder="0" applyAlignment="0" applyProtection="0"/>
    <xf numFmtId="0" fontId="115" fillId="14" borderId="0" applyNumberFormat="0" applyBorder="0" applyAlignment="0" applyProtection="0"/>
    <xf numFmtId="0" fontId="115" fillId="15" borderId="0" applyNumberFormat="0" applyBorder="0" applyAlignment="0" applyProtection="0"/>
    <xf numFmtId="0" fontId="115" fillId="16" borderId="0" applyNumberFormat="0" applyBorder="0" applyAlignment="0" applyProtection="0"/>
    <xf numFmtId="0" fontId="115" fillId="17" borderId="0" applyNumberFormat="0" applyBorder="0" applyAlignment="0" applyProtection="0"/>
    <xf numFmtId="0" fontId="115" fillId="18" borderId="0" applyNumberFormat="0" applyBorder="0" applyAlignment="0" applyProtection="0"/>
    <xf numFmtId="0" fontId="115" fillId="19" borderId="0" applyNumberFormat="0" applyBorder="0" applyAlignment="0" applyProtection="0"/>
    <xf numFmtId="0" fontId="115" fillId="20" borderId="0" applyNumberFormat="0" applyBorder="0" applyAlignment="0" applyProtection="0"/>
    <xf numFmtId="0" fontId="115" fillId="21" borderId="0" applyNumberFormat="0" applyBorder="0" applyAlignment="0" applyProtection="0"/>
    <xf numFmtId="0" fontId="115" fillId="22" borderId="0" applyNumberFormat="0" applyBorder="0" applyAlignment="0" applyProtection="0"/>
    <xf numFmtId="0" fontId="115" fillId="23" borderId="0" applyNumberFormat="0" applyBorder="0" applyAlignment="0" applyProtection="0"/>
    <xf numFmtId="0" fontId="115" fillId="24" borderId="0" applyNumberFormat="0" applyBorder="0" applyAlignment="0" applyProtection="0"/>
    <xf numFmtId="0" fontId="115" fillId="25" borderId="0" applyNumberFormat="0" applyBorder="0" applyAlignment="0" applyProtection="0"/>
    <xf numFmtId="0" fontId="116" fillId="0" borderId="0" applyNumberFormat="0" applyFill="0" applyBorder="0" applyAlignment="0" applyProtection="0"/>
    <xf numFmtId="0" fontId="117" fillId="26" borderId="1" applyNumberFormat="0" applyAlignment="0" applyProtection="0"/>
    <xf numFmtId="0" fontId="118" fillId="0" borderId="2" applyNumberFormat="0" applyFill="0" applyAlignment="0" applyProtection="0"/>
    <xf numFmtId="0" fontId="0" fillId="27" borderId="3" applyNumberFormat="0" applyFont="0" applyAlignment="0" applyProtection="0"/>
    <xf numFmtId="0" fontId="119" fillId="28" borderId="1" applyNumberFormat="0" applyAlignment="0" applyProtection="0"/>
    <xf numFmtId="0" fontId="120" fillId="29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3" fillId="30" borderId="0" applyNumberFormat="0" applyBorder="0" applyAlignment="0" applyProtection="0"/>
    <xf numFmtId="9" fontId="0" fillId="0" borderId="0" applyFont="0" applyFill="0" applyBorder="0" applyAlignment="0" applyProtection="0"/>
    <xf numFmtId="0" fontId="124" fillId="31" borderId="0" applyNumberFormat="0" applyBorder="0" applyAlignment="0" applyProtection="0"/>
    <xf numFmtId="0" fontId="125" fillId="26" borderId="4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5" applyNumberFormat="0" applyFill="0" applyAlignment="0" applyProtection="0"/>
    <xf numFmtId="0" fontId="129" fillId="0" borderId="6" applyNumberFormat="0" applyFill="0" applyAlignment="0" applyProtection="0"/>
    <xf numFmtId="0" fontId="130" fillId="0" borderId="7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8" applyNumberFormat="0" applyFill="0" applyAlignment="0" applyProtection="0"/>
    <xf numFmtId="0" fontId="132" fillId="32" borderId="9" applyNumberFormat="0" applyAlignment="0" applyProtection="0"/>
  </cellStyleXfs>
  <cellXfs count="8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4" fontId="0" fillId="35" borderId="0" xfId="0" applyNumberFormat="1" applyFill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 quotePrefix="1">
      <alignment horizontal="center"/>
    </xf>
    <xf numFmtId="0" fontId="2" fillId="36" borderId="0" xfId="0" applyFont="1" applyFill="1" applyAlignment="1">
      <alignment/>
    </xf>
    <xf numFmtId="0" fontId="0" fillId="36" borderId="0" xfId="0" applyFill="1" applyAlignment="1" applyProtection="1">
      <alignment/>
      <protection locked="0"/>
    </xf>
    <xf numFmtId="4" fontId="0" fillId="36" borderId="0" xfId="0" applyNumberForma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4" fillId="35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36" borderId="0" xfId="0" applyFont="1" applyFill="1" applyAlignment="1">
      <alignment/>
    </xf>
    <xf numFmtId="0" fontId="0" fillId="0" borderId="0" xfId="0" applyAlignment="1">
      <alignment horizontal="right"/>
    </xf>
    <xf numFmtId="0" fontId="0" fillId="34" borderId="0" xfId="0" applyFill="1" applyAlignment="1" applyProtection="1">
      <alignment/>
      <protection locked="0"/>
    </xf>
    <xf numFmtId="0" fontId="5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0" fillId="33" borderId="0" xfId="0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33" borderId="0" xfId="0" applyNumberFormat="1" applyFill="1" applyAlignment="1" applyProtection="1">
      <alignment/>
      <protection locked="0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0" fillId="36" borderId="0" xfId="0" applyNumberFormat="1" applyFill="1" applyAlignment="1" applyProtection="1">
      <alignment/>
      <protection locked="0"/>
    </xf>
    <xf numFmtId="2" fontId="4" fillId="33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0" fillId="36" borderId="0" xfId="0" applyFill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36" borderId="0" xfId="0" applyFont="1" applyFill="1" applyAlignment="1">
      <alignment/>
    </xf>
    <xf numFmtId="1" fontId="7" fillId="36" borderId="0" xfId="0" applyNumberFormat="1" applyFont="1" applyFill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33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36" borderId="0" xfId="0" applyFont="1" applyFill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10" fillId="33" borderId="0" xfId="0" applyNumberFormat="1" applyFont="1" applyFill="1" applyAlignment="1">
      <alignment/>
    </xf>
    <xf numFmtId="0" fontId="10" fillId="0" borderId="0" xfId="0" applyFont="1" applyAlignment="1" applyProtection="1">
      <alignment/>
      <protection locked="0"/>
    </xf>
    <xf numFmtId="2" fontId="10" fillId="0" borderId="0" xfId="0" applyNumberFormat="1" applyFont="1" applyAlignment="1" applyProtection="1">
      <alignment/>
      <protection locked="0"/>
    </xf>
    <xf numFmtId="2" fontId="10" fillId="33" borderId="0" xfId="0" applyNumberFormat="1" applyFont="1" applyFill="1" applyAlignment="1" applyProtection="1">
      <alignment/>
      <protection locked="0"/>
    </xf>
    <xf numFmtId="0" fontId="6" fillId="34" borderId="0" xfId="0" applyFont="1" applyFill="1" applyAlignment="1">
      <alignment wrapText="1"/>
    </xf>
    <xf numFmtId="0" fontId="12" fillId="37" borderId="0" xfId="0" applyFont="1" applyFill="1" applyAlignment="1">
      <alignment/>
    </xf>
    <xf numFmtId="0" fontId="6" fillId="0" borderId="0" xfId="0" applyFont="1" applyAlignment="1">
      <alignment horizontal="center" wrapText="1"/>
    </xf>
    <xf numFmtId="0" fontId="6" fillId="38" borderId="0" xfId="0" applyFont="1" applyFill="1" applyAlignment="1">
      <alignment horizontal="center" wrapText="1"/>
    </xf>
    <xf numFmtId="0" fontId="6" fillId="39" borderId="0" xfId="0" applyFont="1" applyFill="1" applyAlignment="1">
      <alignment horizontal="center" wrapText="1"/>
    </xf>
    <xf numFmtId="0" fontId="0" fillId="39" borderId="0" xfId="0" applyFill="1" applyAlignment="1">
      <alignment/>
    </xf>
    <xf numFmtId="0" fontId="13" fillId="40" borderId="0" xfId="0" applyFont="1" applyFill="1" applyAlignment="1">
      <alignment/>
    </xf>
    <xf numFmtId="0" fontId="14" fillId="38" borderId="0" xfId="0" applyFont="1" applyFill="1" applyAlignment="1">
      <alignment/>
    </xf>
    <xf numFmtId="0" fontId="14" fillId="41" borderId="0" xfId="0" applyFont="1" applyFill="1" applyAlignment="1">
      <alignment/>
    </xf>
    <xf numFmtId="0" fontId="15" fillId="40" borderId="0" xfId="0" applyFont="1" applyFill="1" applyAlignment="1">
      <alignment/>
    </xf>
    <xf numFmtId="0" fontId="8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right"/>
    </xf>
    <xf numFmtId="0" fontId="15" fillId="40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36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wrapText="1"/>
    </xf>
    <xf numFmtId="0" fontId="0" fillId="42" borderId="0" xfId="0" applyFill="1" applyAlignment="1">
      <alignment wrapText="1"/>
    </xf>
    <xf numFmtId="0" fontId="0" fillId="37" borderId="0" xfId="0" applyFill="1" applyAlignment="1">
      <alignment/>
    </xf>
    <xf numFmtId="0" fontId="0" fillId="43" borderId="0" xfId="0" applyFill="1" applyAlignment="1">
      <alignment wrapText="1"/>
    </xf>
    <xf numFmtId="0" fontId="0" fillId="41" borderId="0" xfId="0" applyFill="1" applyAlignment="1">
      <alignment wrapText="1"/>
    </xf>
    <xf numFmtId="0" fontId="0" fillId="44" borderId="0" xfId="0" applyFill="1" applyAlignment="1">
      <alignment wrapText="1"/>
    </xf>
    <xf numFmtId="0" fontId="0" fillId="36" borderId="0" xfId="0" applyFill="1" applyAlignment="1">
      <alignment wrapText="1"/>
    </xf>
    <xf numFmtId="0" fontId="0" fillId="43" borderId="0" xfId="0" applyFill="1" applyAlignment="1">
      <alignment/>
    </xf>
    <xf numFmtId="0" fontId="0" fillId="41" borderId="0" xfId="0" applyFill="1" applyAlignment="1">
      <alignment/>
    </xf>
    <xf numFmtId="0" fontId="0" fillId="39" borderId="0" xfId="0" applyFill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41" borderId="0" xfId="0" applyFill="1" applyAlignment="1">
      <alignment horizontal="center"/>
    </xf>
    <xf numFmtId="0" fontId="0" fillId="43" borderId="0" xfId="0" applyFill="1" applyAlignment="1">
      <alignment horizontal="center"/>
    </xf>
    <xf numFmtId="0" fontId="0" fillId="44" borderId="0" xfId="0" applyFill="1" applyAlignment="1">
      <alignment horizontal="center"/>
    </xf>
    <xf numFmtId="1" fontId="0" fillId="0" borderId="0" xfId="0" applyNumberFormat="1" applyAlignment="1">
      <alignment/>
    </xf>
    <xf numFmtId="1" fontId="0" fillId="41" borderId="0" xfId="0" applyNumberFormat="1" applyFill="1" applyAlignment="1">
      <alignment/>
    </xf>
    <xf numFmtId="1" fontId="7" fillId="41" borderId="0" xfId="0" applyNumberFormat="1" applyFont="1" applyFill="1" applyAlignment="1">
      <alignment/>
    </xf>
    <xf numFmtId="1" fontId="11" fillId="0" borderId="0" xfId="0" applyNumberFormat="1" applyFont="1" applyAlignment="1">
      <alignment/>
    </xf>
    <xf numFmtId="1" fontId="7" fillId="39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0" fillId="45" borderId="0" xfId="0" applyFill="1" applyAlignment="1">
      <alignment/>
    </xf>
    <xf numFmtId="1" fontId="0" fillId="45" borderId="0" xfId="0" applyNumberFormat="1" applyFill="1" applyAlignment="1">
      <alignment/>
    </xf>
    <xf numFmtId="1" fontId="7" fillId="45" borderId="0" xfId="0" applyNumberFormat="1" applyFont="1" applyFill="1" applyAlignment="1">
      <alignment/>
    </xf>
    <xf numFmtId="1" fontId="11" fillId="45" borderId="0" xfId="0" applyNumberFormat="1" applyFont="1" applyFill="1" applyAlignment="1">
      <alignment/>
    </xf>
    <xf numFmtId="1" fontId="1" fillId="45" borderId="0" xfId="0" applyNumberFormat="1" applyFont="1" applyFill="1" applyAlignment="1">
      <alignment/>
    </xf>
    <xf numFmtId="1" fontId="7" fillId="43" borderId="0" xfId="0" applyNumberFormat="1" applyFont="1" applyFill="1" applyAlignment="1">
      <alignment/>
    </xf>
    <xf numFmtId="0" fontId="0" fillId="44" borderId="0" xfId="0" applyFill="1" applyAlignment="1">
      <alignment/>
    </xf>
    <xf numFmtId="1" fontId="7" fillId="44" borderId="0" xfId="0" applyNumberFormat="1" applyFont="1" applyFill="1" applyAlignment="1">
      <alignment/>
    </xf>
    <xf numFmtId="0" fontId="6" fillId="34" borderId="0" xfId="0" applyFont="1" applyFill="1" applyAlignment="1">
      <alignment horizontal="right" wrapText="1"/>
    </xf>
    <xf numFmtId="0" fontId="16" fillId="36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46" borderId="10" xfId="0" applyFill="1" applyBorder="1" applyAlignment="1">
      <alignment horizontal="center" vertical="center" wrapText="1"/>
    </xf>
    <xf numFmtId="0" fontId="0" fillId="46" borderId="10" xfId="0" applyFill="1" applyBorder="1" applyAlignment="1">
      <alignment horizontal="left" vertical="center" wrapText="1"/>
    </xf>
    <xf numFmtId="0" fontId="0" fillId="46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3" fillId="0" borderId="0" xfId="0" applyFont="1" applyAlignment="1">
      <alignment/>
    </xf>
    <xf numFmtId="0" fontId="10" fillId="0" borderId="0" xfId="0" applyFont="1" applyAlignment="1">
      <alignment/>
    </xf>
    <xf numFmtId="0" fontId="131" fillId="0" borderId="0" xfId="0" applyFont="1" applyAlignment="1">
      <alignment horizontal="center"/>
    </xf>
    <xf numFmtId="0" fontId="133" fillId="0" borderId="0" xfId="0" applyFont="1" applyAlignment="1">
      <alignment horizontal="left" vertical="center"/>
    </xf>
    <xf numFmtId="0" fontId="13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0" fontId="0" fillId="47" borderId="0" xfId="0" applyFill="1" applyAlignment="1">
      <alignment horizontal="center"/>
    </xf>
    <xf numFmtId="0" fontId="135" fillId="6" borderId="0" xfId="0" applyFont="1" applyFill="1" applyAlignment="1">
      <alignment horizontal="center"/>
    </xf>
    <xf numFmtId="0" fontId="136" fillId="47" borderId="0" xfId="0" applyFont="1" applyFill="1" applyAlignment="1">
      <alignment horizontal="center"/>
    </xf>
    <xf numFmtId="0" fontId="135" fillId="47" borderId="0" xfId="0" applyFont="1" applyFill="1" applyAlignment="1">
      <alignment horizontal="center"/>
    </xf>
    <xf numFmtId="0" fontId="131" fillId="48" borderId="0" xfId="0" applyFont="1" applyFill="1" applyAlignment="1">
      <alignment horizontal="center"/>
    </xf>
    <xf numFmtId="0" fontId="0" fillId="48" borderId="0" xfId="0" applyFill="1" applyAlignment="1">
      <alignment horizontal="left"/>
    </xf>
    <xf numFmtId="0" fontId="0" fillId="48" borderId="0" xfId="0" applyFill="1" applyAlignment="1">
      <alignment horizontal="center"/>
    </xf>
    <xf numFmtId="0" fontId="137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1" fontId="13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6" borderId="0" xfId="0" applyNumberFormat="1" applyFill="1" applyAlignment="1">
      <alignment horizontal="center"/>
    </xf>
    <xf numFmtId="1" fontId="136" fillId="0" borderId="11" xfId="0" applyNumberFormat="1" applyFont="1" applyBorder="1" applyAlignment="1">
      <alignment horizontal="center"/>
    </xf>
    <xf numFmtId="1" fontId="136" fillId="0" borderId="12" xfId="0" applyNumberFormat="1" applyFont="1" applyBorder="1" applyAlignment="1">
      <alignment horizontal="center"/>
    </xf>
    <xf numFmtId="1" fontId="136" fillId="6" borderId="12" xfId="0" applyNumberFormat="1" applyFont="1" applyFill="1" applyBorder="1" applyAlignment="1">
      <alignment horizontal="center"/>
    </xf>
    <xf numFmtId="1" fontId="136" fillId="0" borderId="13" xfId="0" applyNumberFormat="1" applyFont="1" applyBorder="1" applyAlignment="1">
      <alignment horizontal="center"/>
    </xf>
    <xf numFmtId="1" fontId="136" fillId="0" borderId="14" xfId="0" applyNumberFormat="1" applyFont="1" applyBorder="1" applyAlignment="1">
      <alignment horizontal="center"/>
    </xf>
    <xf numFmtId="1" fontId="136" fillId="0" borderId="0" xfId="0" applyNumberFormat="1" applyFont="1" applyBorder="1" applyAlignment="1">
      <alignment horizontal="center"/>
    </xf>
    <xf numFmtId="1" fontId="136" fillId="6" borderId="0" xfId="0" applyNumberFormat="1" applyFont="1" applyFill="1" applyBorder="1" applyAlignment="1">
      <alignment horizontal="center"/>
    </xf>
    <xf numFmtId="1" fontId="136" fillId="0" borderId="15" xfId="0" applyNumberFormat="1" applyFont="1" applyBorder="1" applyAlignment="1">
      <alignment horizontal="center"/>
    </xf>
    <xf numFmtId="1" fontId="138" fillId="0" borderId="16" xfId="0" applyNumberFormat="1" applyFont="1" applyBorder="1" applyAlignment="1">
      <alignment horizontal="center"/>
    </xf>
    <xf numFmtId="0" fontId="139" fillId="0" borderId="16" xfId="0" applyFont="1" applyBorder="1" applyAlignment="1">
      <alignment horizontal="center"/>
    </xf>
    <xf numFmtId="1" fontId="139" fillId="0" borderId="16" xfId="0" applyNumberFormat="1" applyFont="1" applyBorder="1" applyAlignment="1">
      <alignment horizontal="center"/>
    </xf>
    <xf numFmtId="1" fontId="139" fillId="6" borderId="16" xfId="0" applyNumberFormat="1" applyFont="1" applyFill="1" applyBorder="1" applyAlignment="1">
      <alignment horizontal="center"/>
    </xf>
    <xf numFmtId="1" fontId="136" fillId="0" borderId="17" xfId="0" applyNumberFormat="1" applyFont="1" applyBorder="1" applyAlignment="1">
      <alignment horizontal="center"/>
    </xf>
    <xf numFmtId="1" fontId="136" fillId="0" borderId="16" xfId="0" applyNumberFormat="1" applyFont="1" applyBorder="1" applyAlignment="1">
      <alignment horizontal="center"/>
    </xf>
    <xf numFmtId="1" fontId="136" fillId="6" borderId="16" xfId="0" applyNumberFormat="1" applyFont="1" applyFill="1" applyBorder="1" applyAlignment="1">
      <alignment horizontal="center"/>
    </xf>
    <xf numFmtId="1" fontId="136" fillId="0" borderId="18" xfId="0" applyNumberFormat="1" applyFont="1" applyBorder="1" applyAlignment="1">
      <alignment horizontal="center"/>
    </xf>
    <xf numFmtId="1" fontId="140" fillId="0" borderId="16" xfId="0" applyNumberFormat="1" applyFont="1" applyBorder="1" applyAlignment="1">
      <alignment horizontal="center"/>
    </xf>
    <xf numFmtId="0" fontId="138" fillId="0" borderId="16" xfId="0" applyFont="1" applyBorder="1" applyAlignment="1">
      <alignment/>
    </xf>
    <xf numFmtId="0" fontId="0" fillId="0" borderId="16" xfId="0" applyBorder="1" applyAlignment="1">
      <alignment/>
    </xf>
    <xf numFmtId="1" fontId="131" fillId="10" borderId="0" xfId="0" applyNumberFormat="1" applyFont="1" applyFill="1" applyAlignment="1">
      <alignment horizontal="center"/>
    </xf>
    <xf numFmtId="0" fontId="0" fillId="10" borderId="0" xfId="0" applyFill="1" applyAlignment="1">
      <alignment horizontal="center"/>
    </xf>
    <xf numFmtId="1" fontId="0" fillId="10" borderId="0" xfId="0" applyNumberFormat="1" applyFill="1" applyAlignment="1">
      <alignment horizontal="center"/>
    </xf>
    <xf numFmtId="1" fontId="136" fillId="10" borderId="14" xfId="0" applyNumberFormat="1" applyFont="1" applyFill="1" applyBorder="1" applyAlignment="1">
      <alignment horizontal="center"/>
    </xf>
    <xf numFmtId="1" fontId="136" fillId="10" borderId="0" xfId="0" applyNumberFormat="1" applyFont="1" applyFill="1" applyBorder="1" applyAlignment="1">
      <alignment horizontal="center"/>
    </xf>
    <xf numFmtId="1" fontId="136" fillId="10" borderId="15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1" fontId="136" fillId="0" borderId="19" xfId="0" applyNumberFormat="1" applyFont="1" applyBorder="1" applyAlignment="1">
      <alignment horizontal="center"/>
    </xf>
    <xf numFmtId="1" fontId="136" fillId="0" borderId="20" xfId="0" applyNumberFormat="1" applyFont="1" applyBorder="1" applyAlignment="1">
      <alignment horizontal="center"/>
    </xf>
    <xf numFmtId="1" fontId="136" fillId="6" borderId="20" xfId="0" applyNumberFormat="1" applyFont="1" applyFill="1" applyBorder="1" applyAlignment="1">
      <alignment horizontal="center"/>
    </xf>
    <xf numFmtId="1" fontId="136" fillId="0" borderId="21" xfId="0" applyNumberFormat="1" applyFont="1" applyBorder="1" applyAlignment="1">
      <alignment horizontal="center"/>
    </xf>
    <xf numFmtId="1" fontId="131" fillId="49" borderId="0" xfId="0" applyNumberFormat="1" applyFont="1" applyFill="1" applyAlignment="1">
      <alignment horizontal="center"/>
    </xf>
    <xf numFmtId="0" fontId="6" fillId="41" borderId="0" xfId="0" applyFont="1" applyFill="1" applyAlignment="1">
      <alignment/>
    </xf>
    <xf numFmtId="0" fontId="6" fillId="50" borderId="0" xfId="0" applyFont="1" applyFill="1" applyAlignment="1">
      <alignment/>
    </xf>
    <xf numFmtId="0" fontId="6" fillId="51" borderId="0" xfId="0" applyFont="1" applyFill="1" applyAlignment="1">
      <alignment/>
    </xf>
    <xf numFmtId="0" fontId="6" fillId="51" borderId="0" xfId="0" applyFont="1" applyFill="1" applyAlignment="1">
      <alignment horizontal="right"/>
    </xf>
    <xf numFmtId="0" fontId="24" fillId="51" borderId="0" xfId="0" applyFont="1" applyFill="1" applyAlignment="1">
      <alignment horizontal="center"/>
    </xf>
    <xf numFmtId="17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2" fontId="6" fillId="0" borderId="0" xfId="0" applyNumberFormat="1" applyFont="1" applyAlignment="1">
      <alignment horizontal="center"/>
    </xf>
    <xf numFmtId="0" fontId="26" fillId="33" borderId="0" xfId="0" applyFont="1" applyFill="1" applyAlignment="1" applyProtection="1">
      <alignment horizontal="center" wrapText="1"/>
      <protection/>
    </xf>
    <xf numFmtId="0" fontId="6" fillId="50" borderId="0" xfId="0" applyFont="1" applyFill="1" applyAlignment="1">
      <alignment horizontal="center" wrapText="1"/>
    </xf>
    <xf numFmtId="0" fontId="6" fillId="51" borderId="0" xfId="0" applyFont="1" applyFill="1" applyAlignment="1">
      <alignment horizontal="center" wrapText="1"/>
    </xf>
    <xf numFmtId="171" fontId="6" fillId="0" borderId="0" xfId="0" applyNumberFormat="1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1" fontId="25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0" fontId="141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50" borderId="0" xfId="0" applyFont="1" applyFill="1" applyAlignment="1">
      <alignment/>
    </xf>
    <xf numFmtId="0" fontId="14" fillId="51" borderId="0" xfId="0" applyFont="1" applyFill="1" applyAlignment="1">
      <alignment/>
    </xf>
    <xf numFmtId="0" fontId="7" fillId="51" borderId="0" xfId="0" applyFont="1" applyFill="1" applyAlignment="1">
      <alignment horizontal="righ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171" fontId="14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1" fontId="28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6" fillId="43" borderId="0" xfId="0" applyFont="1" applyFill="1" applyAlignment="1">
      <alignment/>
    </xf>
    <xf numFmtId="0" fontId="25" fillId="7" borderId="0" xfId="0" applyFont="1" applyFill="1" applyAlignment="1">
      <alignment/>
    </xf>
    <xf numFmtId="0" fontId="24" fillId="7" borderId="0" xfId="0" applyFont="1" applyFill="1" applyAlignment="1">
      <alignment horizontal="center"/>
    </xf>
    <xf numFmtId="0" fontId="7" fillId="47" borderId="0" xfId="0" applyFont="1" applyFill="1" applyAlignment="1" applyProtection="1">
      <alignment/>
      <protection locked="0"/>
    </xf>
    <xf numFmtId="0" fontId="6" fillId="36" borderId="0" xfId="0" applyFont="1" applyFill="1" applyAlignment="1">
      <alignment horizontal="center"/>
    </xf>
    <xf numFmtId="0" fontId="6" fillId="52" borderId="0" xfId="0" applyFont="1" applyFill="1" applyAlignment="1">
      <alignment horizontal="center"/>
    </xf>
    <xf numFmtId="0" fontId="6" fillId="36" borderId="22" xfId="0" applyFont="1" applyFill="1" applyBorder="1" applyAlignment="1" applyProtection="1">
      <alignment horizontal="center"/>
      <protection locked="0"/>
    </xf>
    <xf numFmtId="0" fontId="6" fillId="4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50" borderId="0" xfId="0" applyFont="1" applyFill="1" applyAlignment="1">
      <alignment horizontal="center"/>
    </xf>
    <xf numFmtId="0" fontId="6" fillId="51" borderId="0" xfId="0" applyFont="1" applyFill="1" applyAlignment="1">
      <alignment horizontal="center"/>
    </xf>
    <xf numFmtId="171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5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6" fillId="36" borderId="23" xfId="0" applyFont="1" applyFill="1" applyBorder="1" applyAlignment="1" applyProtection="1">
      <alignment horizontal="center" wrapText="1"/>
      <protection locked="0"/>
    </xf>
    <xf numFmtId="0" fontId="25" fillId="52" borderId="0" xfId="0" applyFont="1" applyFill="1" applyAlignment="1">
      <alignment horizontal="center"/>
    </xf>
    <xf numFmtId="0" fontId="142" fillId="0" borderId="11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42" borderId="0" xfId="0" applyFill="1" applyAlignment="1">
      <alignment/>
    </xf>
    <xf numFmtId="0" fontId="1" fillId="0" borderId="0" xfId="0" applyFont="1" applyAlignment="1">
      <alignment horizontal="right"/>
    </xf>
    <xf numFmtId="0" fontId="26" fillId="36" borderId="24" xfId="0" applyFont="1" applyFill="1" applyBorder="1" applyAlignment="1" applyProtection="1">
      <alignment horizontal="center" wrapText="1"/>
      <protection locked="0"/>
    </xf>
    <xf numFmtId="0" fontId="6" fillId="53" borderId="0" xfId="0" applyFont="1" applyFill="1" applyAlignment="1">
      <alignment horizontal="center"/>
    </xf>
    <xf numFmtId="0" fontId="6" fillId="42" borderId="0" xfId="0" applyFont="1" applyFill="1" applyAlignment="1">
      <alignment horizontal="center"/>
    </xf>
    <xf numFmtId="0" fontId="6" fillId="42" borderId="25" xfId="0" applyFont="1" applyFill="1" applyBorder="1" applyAlignment="1">
      <alignment horizontal="center"/>
    </xf>
    <xf numFmtId="0" fontId="6" fillId="50" borderId="0" xfId="0" applyFont="1" applyFill="1" applyAlignment="1">
      <alignment horizontal="left"/>
    </xf>
    <xf numFmtId="0" fontId="34" fillId="50" borderId="0" xfId="0" applyFont="1" applyFill="1" applyAlignment="1">
      <alignment horizontal="left"/>
    </xf>
    <xf numFmtId="0" fontId="7" fillId="42" borderId="0" xfId="0" applyFont="1" applyFill="1" applyAlignment="1">
      <alignment horizontal="right"/>
    </xf>
    <xf numFmtId="0" fontId="24" fillId="42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42" borderId="0" xfId="0" applyFont="1" applyFill="1" applyAlignment="1">
      <alignment horizontal="center"/>
    </xf>
    <xf numFmtId="171" fontId="34" fillId="0" borderId="0" xfId="0" applyNumberFormat="1" applyFont="1" applyAlignment="1">
      <alignment horizontal="left"/>
    </xf>
    <xf numFmtId="1" fontId="34" fillId="0" borderId="0" xfId="0" applyNumberFormat="1" applyFont="1" applyAlignment="1">
      <alignment horizontal="left"/>
    </xf>
    <xf numFmtId="0" fontId="34" fillId="0" borderId="0" xfId="0" applyFont="1" applyAlignment="1">
      <alignment horizontal="left"/>
    </xf>
    <xf numFmtId="0" fontId="35" fillId="49" borderId="14" xfId="0" applyFont="1" applyFill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0" fontId="10" fillId="47" borderId="15" xfId="0" applyFont="1" applyFill="1" applyBorder="1" applyAlignment="1" applyProtection="1">
      <alignment horizontal="center"/>
      <protection locked="0"/>
    </xf>
    <xf numFmtId="1" fontId="36" fillId="0" borderId="0" xfId="0" applyNumberFormat="1" applyFont="1" applyAlignment="1">
      <alignment horizontal="left"/>
    </xf>
    <xf numFmtId="0" fontId="25" fillId="39" borderId="26" xfId="0" applyFont="1" applyFill="1" applyBorder="1" applyAlignment="1">
      <alignment horizontal="center"/>
    </xf>
    <xf numFmtId="0" fontId="11" fillId="42" borderId="0" xfId="0" applyFont="1" applyFill="1" applyAlignment="1">
      <alignment/>
    </xf>
    <xf numFmtId="0" fontId="37" fillId="42" borderId="0" xfId="0" applyFont="1" applyFill="1" applyAlignment="1">
      <alignment/>
    </xf>
    <xf numFmtId="0" fontId="0" fillId="42" borderId="0" xfId="0" applyFill="1" applyAlignment="1">
      <alignment horizontal="right"/>
    </xf>
    <xf numFmtId="0" fontId="6" fillId="42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 wrapText="1"/>
    </xf>
    <xf numFmtId="0" fontId="0" fillId="42" borderId="0" xfId="0" applyFont="1" applyFill="1" applyAlignment="1">
      <alignment/>
    </xf>
    <xf numFmtId="0" fontId="25" fillId="44" borderId="27" xfId="0" applyFont="1" applyFill="1" applyBorder="1" applyAlignment="1">
      <alignment/>
    </xf>
    <xf numFmtId="0" fontId="26" fillId="44" borderId="27" xfId="0" applyFont="1" applyFill="1" applyBorder="1" applyAlignment="1">
      <alignment/>
    </xf>
    <xf numFmtId="0" fontId="26" fillId="0" borderId="28" xfId="0" applyFont="1" applyBorder="1" applyAlignment="1" applyProtection="1">
      <alignment/>
      <protection locked="0"/>
    </xf>
    <xf numFmtId="0" fontId="26" fillId="0" borderId="0" xfId="0" applyFont="1" applyAlignment="1">
      <alignment horizontal="center"/>
    </xf>
    <xf numFmtId="0" fontId="26" fillId="50" borderId="0" xfId="0" applyFont="1" applyFill="1" applyAlignment="1">
      <alignment horizontal="center"/>
    </xf>
    <xf numFmtId="0" fontId="26" fillId="0" borderId="0" xfId="0" applyFont="1" applyAlignment="1">
      <alignment/>
    </xf>
    <xf numFmtId="0" fontId="0" fillId="50" borderId="0" xfId="0" applyFill="1" applyAlignment="1">
      <alignment/>
    </xf>
    <xf numFmtId="0" fontId="0" fillId="51" borderId="0" xfId="0" applyFill="1" applyAlignment="1">
      <alignment/>
    </xf>
    <xf numFmtId="0" fontId="0" fillId="51" borderId="0" xfId="0" applyFill="1" applyAlignment="1">
      <alignment horizontal="right"/>
    </xf>
    <xf numFmtId="17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0" fontId="0" fillId="54" borderId="0" xfId="0" applyFont="1" applyFill="1" applyAlignment="1">
      <alignment/>
    </xf>
    <xf numFmtId="2" fontId="38" fillId="0" borderId="0" xfId="0" applyNumberFormat="1" applyFont="1" applyAlignment="1">
      <alignment horizontal="center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38" fillId="0" borderId="15" xfId="0" applyFont="1" applyBorder="1" applyAlignment="1">
      <alignment horizontal="center"/>
    </xf>
    <xf numFmtId="1" fontId="143" fillId="3" borderId="0" xfId="0" applyNumberFormat="1" applyFont="1" applyFill="1" applyBorder="1" applyAlignment="1">
      <alignment/>
    </xf>
    <xf numFmtId="1" fontId="26" fillId="3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0" fontId="25" fillId="33" borderId="0" xfId="0" applyFont="1" applyFill="1" applyAlignment="1">
      <alignment horizontal="right"/>
    </xf>
    <xf numFmtId="0" fontId="26" fillId="39" borderId="29" xfId="0" applyFont="1" applyFill="1" applyBorder="1" applyAlignment="1">
      <alignment/>
    </xf>
    <xf numFmtId="0" fontId="26" fillId="52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50" borderId="0" xfId="0" applyFill="1" applyAlignment="1">
      <alignment horizontal="center"/>
    </xf>
    <xf numFmtId="0" fontId="0" fillId="39" borderId="26" xfId="0" applyFill="1" applyBorder="1" applyAlignment="1">
      <alignment/>
    </xf>
    <xf numFmtId="0" fontId="0" fillId="53" borderId="0" xfId="0" applyFill="1" applyAlignment="1">
      <alignment/>
    </xf>
    <xf numFmtId="0" fontId="6" fillId="41" borderId="30" xfId="0" applyFont="1" applyFill="1" applyBorder="1" applyAlignment="1">
      <alignment/>
    </xf>
    <xf numFmtId="0" fontId="6" fillId="41" borderId="31" xfId="0" applyFont="1" applyFill="1" applyBorder="1" applyAlignment="1">
      <alignment/>
    </xf>
    <xf numFmtId="0" fontId="0" fillId="41" borderId="32" xfId="0" applyFill="1" applyBorder="1" applyAlignment="1">
      <alignment/>
    </xf>
    <xf numFmtId="0" fontId="0" fillId="39" borderId="33" xfId="0" applyFill="1" applyBorder="1" applyAlignment="1">
      <alignment/>
    </xf>
    <xf numFmtId="0" fontId="8" fillId="33" borderId="0" xfId="0" applyFont="1" applyFill="1" applyAlignment="1">
      <alignment wrapText="1"/>
    </xf>
    <xf numFmtId="0" fontId="25" fillId="43" borderId="0" xfId="0" applyFont="1" applyFill="1" applyAlignment="1">
      <alignment horizontal="center"/>
    </xf>
    <xf numFmtId="0" fontId="6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0" xfId="0" applyFont="1" applyAlignment="1">
      <alignment vertical="top" wrapText="1"/>
    </xf>
    <xf numFmtId="0" fontId="0" fillId="0" borderId="34" xfId="0" applyFont="1" applyBorder="1" applyAlignment="1" applyProtection="1">
      <alignment vertical="top" wrapText="1"/>
      <protection locked="0"/>
    </xf>
    <xf numFmtId="0" fontId="6" fillId="0" borderId="0" xfId="0" applyFont="1" applyAlignment="1">
      <alignment horizontal="left" vertical="top"/>
    </xf>
    <xf numFmtId="0" fontId="26" fillId="39" borderId="0" xfId="0" applyFont="1" applyFill="1" applyAlignment="1">
      <alignment horizontal="center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6" fillId="39" borderId="0" xfId="0" applyFont="1" applyFill="1" applyAlignment="1">
      <alignment/>
    </xf>
    <xf numFmtId="171" fontId="0" fillId="33" borderId="0" xfId="0" applyNumberFormat="1" applyFill="1" applyAlignment="1">
      <alignment/>
    </xf>
    <xf numFmtId="1" fontId="0" fillId="33" borderId="0" xfId="0" applyNumberFormat="1" applyFont="1" applyFill="1" applyAlignment="1">
      <alignment/>
    </xf>
    <xf numFmtId="1" fontId="26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14" xfId="0" applyFill="1" applyBorder="1" applyAlignment="1">
      <alignment/>
    </xf>
    <xf numFmtId="1" fontId="0" fillId="33" borderId="0" xfId="0" applyNumberForma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26" fillId="39" borderId="29" xfId="0" applyFont="1" applyFill="1" applyBorder="1" applyAlignment="1">
      <alignment horizontal="center"/>
    </xf>
    <xf numFmtId="0" fontId="24" fillId="36" borderId="0" xfId="0" applyFont="1" applyFill="1" applyAlignment="1" applyProtection="1">
      <alignment horizontal="center"/>
      <protection locked="0"/>
    </xf>
    <xf numFmtId="0" fontId="6" fillId="39" borderId="29" xfId="0" applyFont="1" applyFill="1" applyBorder="1" applyAlignment="1">
      <alignment horizontal="center"/>
    </xf>
    <xf numFmtId="0" fontId="0" fillId="53" borderId="0" xfId="0" applyFill="1" applyAlignment="1">
      <alignment horizontal="center"/>
    </xf>
    <xf numFmtId="0" fontId="0" fillId="44" borderId="35" xfId="0" applyFill="1" applyBorder="1" applyAlignment="1">
      <alignment horizontal="center"/>
    </xf>
    <xf numFmtId="0" fontId="0" fillId="44" borderId="0" xfId="0" applyFill="1" applyBorder="1" applyAlignment="1">
      <alignment horizontal="center"/>
    </xf>
    <xf numFmtId="0" fontId="0" fillId="44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26" fillId="36" borderId="0" xfId="0" applyFont="1" applyFill="1" applyAlignment="1">
      <alignment horizontal="center"/>
    </xf>
    <xf numFmtId="0" fontId="26" fillId="43" borderId="0" xfId="0" applyFont="1" applyFill="1" applyAlignment="1">
      <alignment horizontal="center"/>
    </xf>
    <xf numFmtId="0" fontId="0" fillId="44" borderId="27" xfId="0" applyFill="1" applyBorder="1" applyAlignment="1">
      <alignment horizontal="center"/>
    </xf>
    <xf numFmtId="0" fontId="26" fillId="34" borderId="0" xfId="0" applyFont="1" applyFill="1" applyAlignment="1">
      <alignment horizontal="center"/>
    </xf>
    <xf numFmtId="0" fontId="0" fillId="44" borderId="0" xfId="0" applyFont="1" applyFill="1" applyAlignment="1">
      <alignment vertical="top" wrapText="1"/>
    </xf>
    <xf numFmtId="0" fontId="0" fillId="34" borderId="0" xfId="0" applyFill="1" applyAlignment="1">
      <alignment horizontal="center"/>
    </xf>
    <xf numFmtId="0" fontId="0" fillId="51" borderId="0" xfId="0" applyFill="1" applyAlignment="1">
      <alignment horizontal="center"/>
    </xf>
    <xf numFmtId="0" fontId="26" fillId="51" borderId="0" xfId="0" applyFont="1" applyFill="1" applyAlignment="1">
      <alignment horizontal="center"/>
    </xf>
    <xf numFmtId="171" fontId="0" fillId="44" borderId="0" xfId="0" applyNumberFormat="1" applyFont="1" applyFill="1" applyAlignment="1">
      <alignment horizontal="center"/>
    </xf>
    <xf numFmtId="1" fontId="0" fillId="44" borderId="0" xfId="0" applyNumberFormat="1" applyFont="1" applyFill="1" applyAlignment="1">
      <alignment horizontal="center"/>
    </xf>
    <xf numFmtId="1" fontId="26" fillId="44" borderId="0" xfId="0" applyNumberFormat="1" applyFont="1" applyFill="1" applyAlignment="1">
      <alignment horizontal="center"/>
    </xf>
    <xf numFmtId="0" fontId="0" fillId="54" borderId="0" xfId="0" applyFont="1" applyFill="1" applyAlignment="1">
      <alignment horizontal="center"/>
    </xf>
    <xf numFmtId="2" fontId="0" fillId="44" borderId="0" xfId="0" applyNumberFormat="1" applyFill="1" applyAlignment="1">
      <alignment horizontal="center"/>
    </xf>
    <xf numFmtId="0" fontId="0" fillId="44" borderId="19" xfId="0" applyFont="1" applyFill="1" applyBorder="1" applyAlignment="1">
      <alignment horizontal="center"/>
    </xf>
    <xf numFmtId="1" fontId="0" fillId="44" borderId="20" xfId="0" applyNumberFormat="1" applyFont="1" applyFill="1" applyBorder="1" applyAlignment="1">
      <alignment horizontal="center"/>
    </xf>
    <xf numFmtId="0" fontId="0" fillId="44" borderId="21" xfId="0" applyFill="1" applyBorder="1" applyAlignment="1">
      <alignment horizontal="center"/>
    </xf>
    <xf numFmtId="1" fontId="144" fillId="44" borderId="0" xfId="0" applyNumberFormat="1" applyFont="1" applyFill="1" applyAlignment="1">
      <alignment horizontal="center"/>
    </xf>
    <xf numFmtId="1" fontId="145" fillId="44" borderId="0" xfId="0" applyNumberFormat="1" applyFont="1" applyFill="1" applyAlignment="1">
      <alignment horizontal="center"/>
    </xf>
    <xf numFmtId="0" fontId="39" fillId="40" borderId="0" xfId="0" applyFont="1" applyFill="1" applyAlignment="1">
      <alignment/>
    </xf>
    <xf numFmtId="0" fontId="40" fillId="35" borderId="38" xfId="0" applyFont="1" applyFill="1" applyBorder="1" applyAlignment="1" applyProtection="1">
      <alignment/>
      <protection locked="0"/>
    </xf>
    <xf numFmtId="1" fontId="41" fillId="0" borderId="0" xfId="0" applyNumberFormat="1" applyFont="1" applyAlignment="1">
      <alignment/>
    </xf>
    <xf numFmtId="1" fontId="0" fillId="0" borderId="29" xfId="0" applyNumberFormat="1" applyBorder="1" applyAlignment="1">
      <alignment/>
    </xf>
    <xf numFmtId="1" fontId="42" fillId="0" borderId="0" xfId="0" applyNumberFormat="1" applyFont="1" applyFill="1" applyAlignment="1">
      <alignment/>
    </xf>
    <xf numFmtId="1" fontId="26" fillId="51" borderId="0" xfId="0" applyNumberFormat="1" applyFont="1" applyFill="1" applyAlignment="1">
      <alignment/>
    </xf>
    <xf numFmtId="1" fontId="25" fillId="46" borderId="0" xfId="0" applyNumberFormat="1" applyFont="1" applyFill="1" applyAlignment="1">
      <alignment/>
    </xf>
    <xf numFmtId="2" fontId="25" fillId="2" borderId="0" xfId="0" applyNumberFormat="1" applyFont="1" applyFill="1" applyAlignment="1">
      <alignment/>
    </xf>
    <xf numFmtId="0" fontId="0" fillId="0" borderId="29" xfId="0" applyBorder="1" applyAlignment="1">
      <alignment/>
    </xf>
    <xf numFmtId="1" fontId="0" fillId="0" borderId="3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36" xfId="0" applyBorder="1" applyAlignment="1">
      <alignment/>
    </xf>
    <xf numFmtId="0" fontId="0" fillId="55" borderId="37" xfId="0" applyFill="1" applyBorder="1" applyAlignment="1">
      <alignment/>
    </xf>
    <xf numFmtId="0" fontId="6" fillId="46" borderId="0" xfId="0" applyFont="1" applyFill="1" applyAlignment="1">
      <alignment/>
    </xf>
    <xf numFmtId="1" fontId="0" fillId="0" borderId="27" xfId="0" applyNumberFormat="1" applyBorder="1" applyAlignment="1">
      <alignment/>
    </xf>
    <xf numFmtId="171" fontId="0" fillId="0" borderId="0" xfId="0" applyNumberFormat="1" applyAlignment="1">
      <alignment/>
    </xf>
    <xf numFmtId="1" fontId="26" fillId="4" borderId="0" xfId="0" applyNumberFormat="1" applyFont="1" applyFill="1" applyAlignment="1">
      <alignment/>
    </xf>
    <xf numFmtId="2" fontId="0" fillId="0" borderId="0" xfId="0" applyNumberFormat="1" applyAlignment="1">
      <alignment horizontal="center"/>
    </xf>
    <xf numFmtId="0" fontId="40" fillId="35" borderId="39" xfId="0" applyFont="1" applyFill="1" applyBorder="1" applyAlignment="1" applyProtection="1">
      <alignment/>
      <protection locked="0"/>
    </xf>
    <xf numFmtId="0" fontId="43" fillId="42" borderId="0" xfId="0" applyFont="1" applyFill="1" applyAlignment="1">
      <alignment/>
    </xf>
    <xf numFmtId="0" fontId="26" fillId="42" borderId="40" xfId="0" applyFont="1" applyFill="1" applyBorder="1" applyAlignment="1">
      <alignment/>
    </xf>
    <xf numFmtId="1" fontId="44" fillId="42" borderId="0" xfId="0" applyNumberFormat="1" applyFont="1" applyFill="1" applyAlignment="1">
      <alignment/>
    </xf>
    <xf numFmtId="1" fontId="26" fillId="42" borderId="40" xfId="0" applyNumberFormat="1" applyFont="1" applyFill="1" applyBorder="1" applyAlignment="1">
      <alignment/>
    </xf>
    <xf numFmtId="1" fontId="45" fillId="42" borderId="40" xfId="0" applyNumberFormat="1" applyFont="1" applyFill="1" applyBorder="1" applyAlignment="1">
      <alignment/>
    </xf>
    <xf numFmtId="1" fontId="26" fillId="42" borderId="0" xfId="0" applyNumberFormat="1" applyFont="1" applyFill="1" applyAlignment="1">
      <alignment/>
    </xf>
    <xf numFmtId="0" fontId="26" fillId="42" borderId="0" xfId="0" applyFont="1" applyFill="1" applyAlignment="1">
      <alignment/>
    </xf>
    <xf numFmtId="2" fontId="26" fillId="42" borderId="0" xfId="0" applyNumberFormat="1" applyFont="1" applyFill="1" applyAlignment="1">
      <alignment/>
    </xf>
    <xf numFmtId="1" fontId="26" fillId="42" borderId="41" xfId="0" applyNumberFormat="1" applyFont="1" applyFill="1" applyBorder="1" applyAlignment="1">
      <alignment/>
    </xf>
    <xf numFmtId="0" fontId="26" fillId="42" borderId="41" xfId="0" applyFont="1" applyFill="1" applyBorder="1" applyAlignment="1">
      <alignment/>
    </xf>
    <xf numFmtId="0" fontId="26" fillId="42" borderId="42" xfId="0" applyFont="1" applyFill="1" applyBorder="1" applyAlignment="1">
      <alignment/>
    </xf>
    <xf numFmtId="1" fontId="26" fillId="42" borderId="43" xfId="0" applyNumberFormat="1" applyFont="1" applyFill="1" applyBorder="1" applyAlignment="1">
      <alignment/>
    </xf>
    <xf numFmtId="0" fontId="26" fillId="42" borderId="0" xfId="0" applyFont="1" applyFill="1" applyAlignment="1">
      <alignment vertical="top" wrapText="1"/>
    </xf>
    <xf numFmtId="0" fontId="26" fillId="42" borderId="34" xfId="0" applyFont="1" applyFill="1" applyBorder="1" applyAlignment="1" applyProtection="1">
      <alignment vertical="top" wrapText="1"/>
      <protection locked="0"/>
    </xf>
    <xf numFmtId="0" fontId="26" fillId="50" borderId="0" xfId="0" applyFont="1" applyFill="1" applyAlignment="1">
      <alignment/>
    </xf>
    <xf numFmtId="0" fontId="26" fillId="51" borderId="0" xfId="0" applyFont="1" applyFill="1" applyAlignment="1">
      <alignment/>
    </xf>
    <xf numFmtId="164" fontId="26" fillId="42" borderId="0" xfId="0" applyNumberFormat="1" applyFont="1" applyFill="1" applyAlignment="1">
      <alignment/>
    </xf>
    <xf numFmtId="172" fontId="0" fillId="0" borderId="0" xfId="0" applyNumberFormat="1" applyFont="1" applyAlignment="1">
      <alignment vertical="top" wrapText="1"/>
    </xf>
    <xf numFmtId="1" fontId="7" fillId="3" borderId="0" xfId="0" applyNumberFormat="1" applyFont="1" applyFill="1" applyAlignment="1">
      <alignment/>
    </xf>
    <xf numFmtId="172" fontId="11" fillId="0" borderId="0" xfId="0" applyNumberFormat="1" applyFont="1" applyAlignment="1">
      <alignment vertical="top" wrapText="1"/>
    </xf>
    <xf numFmtId="0" fontId="146" fillId="56" borderId="44" xfId="0" applyFont="1" applyFill="1" applyBorder="1" applyAlignment="1">
      <alignment/>
    </xf>
    <xf numFmtId="0" fontId="0" fillId="56" borderId="44" xfId="0" applyFill="1" applyBorder="1" applyAlignment="1">
      <alignment/>
    </xf>
    <xf numFmtId="0" fontId="0" fillId="56" borderId="44" xfId="0" applyFill="1" applyBorder="1" applyAlignment="1" applyProtection="1">
      <alignment/>
      <protection locked="0"/>
    </xf>
    <xf numFmtId="1" fontId="41" fillId="56" borderId="44" xfId="0" applyNumberFormat="1" applyFont="1" applyFill="1" applyBorder="1" applyAlignment="1">
      <alignment/>
    </xf>
    <xf numFmtId="1" fontId="0" fillId="56" borderId="45" xfId="0" applyNumberFormat="1" applyFill="1" applyBorder="1" applyAlignment="1">
      <alignment/>
    </xf>
    <xf numFmtId="1" fontId="42" fillId="56" borderId="44" xfId="0" applyNumberFormat="1" applyFont="1" applyFill="1" applyBorder="1" applyAlignment="1">
      <alignment/>
    </xf>
    <xf numFmtId="1" fontId="26" fillId="56" borderId="44" xfId="0" applyNumberFormat="1" applyFont="1" applyFill="1" applyBorder="1" applyAlignment="1">
      <alignment/>
    </xf>
    <xf numFmtId="1" fontId="0" fillId="56" borderId="44" xfId="0" applyNumberFormat="1" applyFill="1" applyBorder="1" applyAlignment="1">
      <alignment/>
    </xf>
    <xf numFmtId="1" fontId="25" fillId="56" borderId="44" xfId="0" applyNumberFormat="1" applyFont="1" applyFill="1" applyBorder="1" applyAlignment="1">
      <alignment/>
    </xf>
    <xf numFmtId="0" fontId="0" fillId="56" borderId="45" xfId="0" applyFill="1" applyBorder="1" applyAlignment="1">
      <alignment/>
    </xf>
    <xf numFmtId="0" fontId="26" fillId="56" borderId="44" xfId="0" applyFont="1" applyFill="1" applyBorder="1" applyAlignment="1">
      <alignment/>
    </xf>
    <xf numFmtId="1" fontId="0" fillId="56" borderId="46" xfId="0" applyNumberFormat="1" applyFill="1" applyBorder="1" applyAlignment="1">
      <alignment/>
    </xf>
    <xf numFmtId="0" fontId="0" fillId="56" borderId="47" xfId="0" applyFill="1" applyBorder="1" applyAlignment="1">
      <alignment/>
    </xf>
    <xf numFmtId="0" fontId="0" fillId="56" borderId="48" xfId="0" applyFill="1" applyBorder="1" applyAlignment="1">
      <alignment/>
    </xf>
    <xf numFmtId="0" fontId="6" fillId="56" borderId="44" xfId="0" applyFont="1" applyFill="1" applyBorder="1" applyAlignment="1">
      <alignment/>
    </xf>
    <xf numFmtId="1" fontId="6" fillId="56" borderId="44" xfId="0" applyNumberFormat="1" applyFont="1" applyFill="1" applyBorder="1" applyAlignment="1">
      <alignment/>
    </xf>
    <xf numFmtId="1" fontId="0" fillId="56" borderId="49" xfId="0" applyNumberFormat="1" applyFill="1" applyBorder="1" applyAlignment="1">
      <alignment/>
    </xf>
    <xf numFmtId="0" fontId="0" fillId="56" borderId="44" xfId="0" applyFont="1" applyFill="1" applyBorder="1" applyAlignment="1">
      <alignment vertical="top" wrapText="1"/>
    </xf>
    <xf numFmtId="0" fontId="0" fillId="56" borderId="50" xfId="0" applyFont="1" applyFill="1" applyBorder="1" applyAlignment="1" applyProtection="1">
      <alignment vertical="top" wrapText="1"/>
      <protection locked="0"/>
    </xf>
    <xf numFmtId="172" fontId="11" fillId="56" borderId="44" xfId="0" applyNumberFormat="1" applyFont="1" applyFill="1" applyBorder="1" applyAlignment="1">
      <alignment vertical="top" wrapText="1"/>
    </xf>
    <xf numFmtId="0" fontId="0" fillId="7" borderId="44" xfId="0" applyFill="1" applyBorder="1" applyAlignment="1">
      <alignment/>
    </xf>
    <xf numFmtId="164" fontId="0" fillId="56" borderId="44" xfId="0" applyNumberFormat="1" applyFill="1" applyBorder="1" applyAlignment="1">
      <alignment/>
    </xf>
    <xf numFmtId="0" fontId="0" fillId="35" borderId="0" xfId="0" applyFill="1" applyAlignment="1" applyProtection="1">
      <alignment/>
      <protection locked="0"/>
    </xf>
    <xf numFmtId="0" fontId="0" fillId="7" borderId="0" xfId="0" applyFill="1" applyAlignment="1">
      <alignment/>
    </xf>
    <xf numFmtId="0" fontId="39" fillId="40" borderId="51" xfId="0" applyFont="1" applyFill="1" applyBorder="1" applyAlignment="1">
      <alignment/>
    </xf>
    <xf numFmtId="0" fontId="0" fillId="0" borderId="51" xfId="0" applyBorder="1" applyAlignment="1">
      <alignment/>
    </xf>
    <xf numFmtId="0" fontId="0" fillId="35" borderId="51" xfId="0" applyFill="1" applyBorder="1" applyAlignment="1" applyProtection="1">
      <alignment/>
      <protection locked="0"/>
    </xf>
    <xf numFmtId="1" fontId="41" fillId="0" borderId="51" xfId="0" applyNumberFormat="1" applyFont="1" applyBorder="1" applyAlignment="1">
      <alignment/>
    </xf>
    <xf numFmtId="1" fontId="0" fillId="0" borderId="52" xfId="0" applyNumberFormat="1" applyBorder="1" applyAlignment="1">
      <alignment/>
    </xf>
    <xf numFmtId="1" fontId="42" fillId="0" borderId="51" xfId="0" applyNumberFormat="1" applyFont="1" applyFill="1" applyBorder="1" applyAlignment="1">
      <alignment/>
    </xf>
    <xf numFmtId="1" fontId="26" fillId="51" borderId="51" xfId="0" applyNumberFormat="1" applyFont="1" applyFill="1" applyBorder="1" applyAlignment="1">
      <alignment/>
    </xf>
    <xf numFmtId="1" fontId="0" fillId="0" borderId="51" xfId="0" applyNumberFormat="1" applyBorder="1" applyAlignment="1">
      <alignment/>
    </xf>
    <xf numFmtId="1" fontId="25" fillId="46" borderId="51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26" fillId="33" borderId="51" xfId="0" applyFont="1" applyFill="1" applyBorder="1" applyAlignment="1">
      <alignment/>
    </xf>
    <xf numFmtId="1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0" fillId="55" borderId="55" xfId="0" applyFill="1" applyBorder="1" applyAlignment="1">
      <alignment/>
    </xf>
    <xf numFmtId="0" fontId="6" fillId="46" borderId="51" xfId="0" applyFont="1" applyFill="1" applyBorder="1" applyAlignment="1">
      <alignment/>
    </xf>
    <xf numFmtId="1" fontId="6" fillId="0" borderId="51" xfId="0" applyNumberFormat="1" applyFont="1" applyBorder="1" applyAlignment="1">
      <alignment/>
    </xf>
    <xf numFmtId="1" fontId="0" fillId="0" borderId="56" xfId="0" applyNumberFormat="1" applyBorder="1" applyAlignment="1">
      <alignment/>
    </xf>
    <xf numFmtId="0" fontId="0" fillId="0" borderId="51" xfId="0" applyFont="1" applyBorder="1" applyAlignment="1">
      <alignment vertical="top" wrapText="1"/>
    </xf>
    <xf numFmtId="0" fontId="0" fillId="0" borderId="57" xfId="0" applyFont="1" applyBorder="1" applyAlignment="1" applyProtection="1">
      <alignment vertical="top" wrapText="1"/>
      <protection locked="0"/>
    </xf>
    <xf numFmtId="172" fontId="11" fillId="0" borderId="51" xfId="0" applyNumberFormat="1" applyFont="1" applyBorder="1" applyAlignment="1">
      <alignment vertical="top" wrapText="1"/>
    </xf>
    <xf numFmtId="0" fontId="0" fillId="39" borderId="51" xfId="0" applyFill="1" applyBorder="1" applyAlignment="1">
      <alignment/>
    </xf>
    <xf numFmtId="0" fontId="0" fillId="50" borderId="51" xfId="0" applyFill="1" applyBorder="1" applyAlignment="1">
      <alignment/>
    </xf>
    <xf numFmtId="0" fontId="0" fillId="51" borderId="51" xfId="0" applyFill="1" applyBorder="1" applyAlignment="1">
      <alignment/>
    </xf>
    <xf numFmtId="0" fontId="0" fillId="7" borderId="51" xfId="0" applyFill="1" applyBorder="1" applyAlignment="1">
      <alignment/>
    </xf>
    <xf numFmtId="164" fontId="0" fillId="0" borderId="51" xfId="0" applyNumberFormat="1" applyBorder="1" applyAlignment="1">
      <alignment/>
    </xf>
    <xf numFmtId="171" fontId="0" fillId="0" borderId="51" xfId="0" applyNumberFormat="1" applyBorder="1" applyAlignment="1">
      <alignment/>
    </xf>
    <xf numFmtId="1" fontId="26" fillId="3" borderId="58" xfId="0" applyNumberFormat="1" applyFont="1" applyFill="1" applyBorder="1" applyAlignment="1">
      <alignment/>
    </xf>
    <xf numFmtId="2" fontId="0" fillId="0" borderId="51" xfId="0" applyNumberFormat="1" applyBorder="1" applyAlignment="1">
      <alignment horizontal="center"/>
    </xf>
    <xf numFmtId="1" fontId="7" fillId="4" borderId="58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35" borderId="20" xfId="0" applyFill="1" applyBorder="1" applyAlignment="1" applyProtection="1">
      <alignment/>
      <protection locked="0"/>
    </xf>
    <xf numFmtId="1" fontId="0" fillId="0" borderId="59" xfId="0" applyNumberFormat="1" applyBorder="1" applyAlignment="1">
      <alignment/>
    </xf>
    <xf numFmtId="1" fontId="42" fillId="0" borderId="20" xfId="0" applyNumberFormat="1" applyFont="1" applyFill="1" applyBorder="1" applyAlignment="1">
      <alignment/>
    </xf>
    <xf numFmtId="1" fontId="26" fillId="51" borderId="20" xfId="0" applyNumberFormat="1" applyFont="1" applyFill="1" applyBorder="1" applyAlignment="1">
      <alignment/>
    </xf>
    <xf numFmtId="1" fontId="0" fillId="0" borderId="20" xfId="0" applyNumberFormat="1" applyBorder="1" applyAlignment="1">
      <alignment/>
    </xf>
    <xf numFmtId="1" fontId="25" fillId="46" borderId="20" xfId="0" applyNumberFormat="1" applyFont="1" applyFill="1" applyBorder="1" applyAlignment="1">
      <alignment/>
    </xf>
    <xf numFmtId="0" fontId="0" fillId="0" borderId="59" xfId="0" applyBorder="1" applyAlignment="1">
      <alignment/>
    </xf>
    <xf numFmtId="0" fontId="26" fillId="33" borderId="20" xfId="0" applyFont="1" applyFill="1" applyBorder="1" applyAlignment="1">
      <alignment/>
    </xf>
    <xf numFmtId="0" fontId="0" fillId="0" borderId="60" xfId="0" applyBorder="1" applyAlignment="1">
      <alignment/>
    </xf>
    <xf numFmtId="0" fontId="6" fillId="46" borderId="20" xfId="0" applyFont="1" applyFill="1" applyBorder="1" applyAlignment="1">
      <alignment/>
    </xf>
    <xf numFmtId="1" fontId="0" fillId="0" borderId="61" xfId="0" applyNumberForma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51" borderId="20" xfId="0" applyFill="1" applyBorder="1" applyAlignment="1">
      <alignment/>
    </xf>
    <xf numFmtId="0" fontId="46" fillId="38" borderId="0" xfId="0" applyFont="1" applyFill="1" applyAlignment="1">
      <alignment/>
    </xf>
    <xf numFmtId="0" fontId="47" fillId="38" borderId="0" xfId="0" applyFont="1" applyFill="1" applyAlignment="1">
      <alignment/>
    </xf>
    <xf numFmtId="1" fontId="48" fillId="38" borderId="0" xfId="0" applyNumberFormat="1" applyFont="1" applyFill="1" applyAlignment="1">
      <alignment/>
    </xf>
    <xf numFmtId="1" fontId="49" fillId="38" borderId="29" xfId="0" applyNumberFormat="1" applyFont="1" applyFill="1" applyBorder="1" applyAlignment="1">
      <alignment/>
    </xf>
    <xf numFmtId="1" fontId="47" fillId="38" borderId="0" xfId="0" applyNumberFormat="1" applyFont="1" applyFill="1" applyAlignment="1">
      <alignment/>
    </xf>
    <xf numFmtId="1" fontId="50" fillId="38" borderId="0" xfId="0" applyNumberFormat="1" applyFont="1" applyFill="1" applyAlignment="1">
      <alignment/>
    </xf>
    <xf numFmtId="2" fontId="25" fillId="38" borderId="62" xfId="0" applyNumberFormat="1" applyFont="1" applyFill="1" applyBorder="1" applyAlignment="1">
      <alignment/>
    </xf>
    <xf numFmtId="0" fontId="47" fillId="38" borderId="29" xfId="0" applyFont="1" applyFill="1" applyBorder="1" applyAlignment="1">
      <alignment/>
    </xf>
    <xf numFmtId="1" fontId="47" fillId="38" borderId="35" xfId="0" applyNumberFormat="1" applyFont="1" applyFill="1" applyBorder="1" applyAlignment="1">
      <alignment/>
    </xf>
    <xf numFmtId="0" fontId="47" fillId="38" borderId="0" xfId="0" applyFont="1" applyFill="1" applyBorder="1" applyAlignment="1">
      <alignment/>
    </xf>
    <xf numFmtId="0" fontId="47" fillId="38" borderId="36" xfId="0" applyFont="1" applyFill="1" applyBorder="1" applyAlignment="1">
      <alignment/>
    </xf>
    <xf numFmtId="0" fontId="47" fillId="38" borderId="37" xfId="0" applyFont="1" applyFill="1" applyBorder="1" applyAlignment="1">
      <alignment/>
    </xf>
    <xf numFmtId="0" fontId="50" fillId="38" borderId="0" xfId="0" applyFont="1" applyFill="1" applyAlignment="1">
      <alignment/>
    </xf>
    <xf numFmtId="1" fontId="47" fillId="38" borderId="27" xfId="0" applyNumberFormat="1" applyFont="1" applyFill="1" applyBorder="1" applyAlignment="1">
      <alignment/>
    </xf>
    <xf numFmtId="0" fontId="47" fillId="38" borderId="20" xfId="0" applyFont="1" applyFill="1" applyBorder="1" applyAlignment="1">
      <alignment vertical="top" wrapText="1"/>
    </xf>
    <xf numFmtId="0" fontId="47" fillId="38" borderId="34" xfId="0" applyFont="1" applyFill="1" applyBorder="1" applyAlignment="1" applyProtection="1">
      <alignment vertical="top" wrapText="1"/>
      <protection locked="0"/>
    </xf>
    <xf numFmtId="172" fontId="51" fillId="38" borderId="0" xfId="0" applyNumberFormat="1" applyFont="1" applyFill="1" applyAlignment="1">
      <alignment vertical="top" wrapText="1"/>
    </xf>
    <xf numFmtId="0" fontId="47" fillId="50" borderId="0" xfId="0" applyFont="1" applyFill="1" applyAlignment="1">
      <alignment/>
    </xf>
    <xf numFmtId="0" fontId="49" fillId="38" borderId="0" xfId="0" applyFont="1" applyFill="1" applyAlignment="1">
      <alignment vertical="top" wrapText="1"/>
    </xf>
    <xf numFmtId="0" fontId="47" fillId="38" borderId="0" xfId="0" applyFont="1" applyFill="1" applyAlignment="1">
      <alignment vertical="top" wrapText="1"/>
    </xf>
    <xf numFmtId="0" fontId="47" fillId="51" borderId="0" xfId="0" applyFont="1" applyFill="1" applyAlignment="1">
      <alignment/>
    </xf>
    <xf numFmtId="0" fontId="26" fillId="38" borderId="0" xfId="0" applyFont="1" applyFill="1" applyAlignment="1">
      <alignment/>
    </xf>
    <xf numFmtId="164" fontId="26" fillId="38" borderId="0" xfId="0" applyNumberFormat="1" applyFont="1" applyFill="1" applyAlignment="1">
      <alignment/>
    </xf>
    <xf numFmtId="0" fontId="52" fillId="0" borderId="0" xfId="0" applyFont="1" applyAlignment="1">
      <alignment/>
    </xf>
    <xf numFmtId="0" fontId="52" fillId="33" borderId="0" xfId="0" applyFont="1" applyFill="1" applyAlignment="1">
      <alignment/>
    </xf>
    <xf numFmtId="1" fontId="45" fillId="0" borderId="0" xfId="0" applyNumberFormat="1" applyFont="1" applyFill="1" applyAlignment="1">
      <alignment/>
    </xf>
    <xf numFmtId="1" fontId="52" fillId="39" borderId="0" xfId="0" applyNumberFormat="1" applyFont="1" applyFill="1" applyAlignment="1">
      <alignment/>
    </xf>
    <xf numFmtId="1" fontId="52" fillId="0" borderId="0" xfId="0" applyNumberFormat="1" applyFont="1" applyAlignment="1">
      <alignment/>
    </xf>
    <xf numFmtId="0" fontId="2" fillId="0" borderId="2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Alignment="1">
      <alignment/>
    </xf>
    <xf numFmtId="0" fontId="2" fillId="39" borderId="0" xfId="0" applyFont="1" applyFill="1" applyAlignment="1">
      <alignment/>
    </xf>
    <xf numFmtId="1" fontId="2" fillId="0" borderId="27" xfId="0" applyNumberFormat="1" applyFont="1" applyBorder="1" applyAlignment="1">
      <alignment/>
    </xf>
    <xf numFmtId="0" fontId="2" fillId="51" borderId="0" xfId="0" applyFont="1" applyFill="1" applyAlignment="1">
      <alignment/>
    </xf>
    <xf numFmtId="164" fontId="0" fillId="7" borderId="0" xfId="0" applyNumberFormat="1" applyFill="1" applyAlignment="1">
      <alignment/>
    </xf>
    <xf numFmtId="0" fontId="52" fillId="0" borderId="20" xfId="0" applyFont="1" applyBorder="1" applyAlignment="1">
      <alignment/>
    </xf>
    <xf numFmtId="0" fontId="52" fillId="33" borderId="20" xfId="0" applyFont="1" applyFill="1" applyBorder="1" applyAlignment="1">
      <alignment/>
    </xf>
    <xf numFmtId="1" fontId="45" fillId="0" borderId="20" xfId="0" applyNumberFormat="1" applyFont="1" applyFill="1" applyBorder="1" applyAlignment="1">
      <alignment/>
    </xf>
    <xf numFmtId="1" fontId="52" fillId="39" borderId="20" xfId="0" applyNumberFormat="1" applyFont="1" applyFill="1" applyBorder="1" applyAlignment="1">
      <alignment/>
    </xf>
    <xf numFmtId="1" fontId="52" fillId="0" borderId="20" xfId="0" applyNumberFormat="1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60" xfId="0" applyFont="1" applyBorder="1" applyAlignment="1">
      <alignment/>
    </xf>
    <xf numFmtId="0" fontId="2" fillId="39" borderId="20" xfId="0" applyFont="1" applyFill="1" applyBorder="1" applyAlignment="1">
      <alignment/>
    </xf>
    <xf numFmtId="1" fontId="2" fillId="0" borderId="61" xfId="0" applyNumberFormat="1" applyFont="1" applyBorder="1" applyAlignment="1">
      <alignment/>
    </xf>
    <xf numFmtId="0" fontId="0" fillId="0" borderId="63" xfId="0" applyFont="1" applyBorder="1" applyAlignment="1" applyProtection="1">
      <alignment vertical="top" wrapText="1"/>
      <protection locked="0"/>
    </xf>
    <xf numFmtId="0" fontId="2" fillId="51" borderId="20" xfId="0" applyFont="1" applyFill="1" applyBorder="1" applyAlignment="1">
      <alignment/>
    </xf>
    <xf numFmtId="0" fontId="0" fillId="57" borderId="0" xfId="0" applyFill="1" applyAlignment="1">
      <alignment/>
    </xf>
    <xf numFmtId="2" fontId="0" fillId="57" borderId="0" xfId="0" applyNumberFormat="1" applyFill="1" applyAlignment="1">
      <alignment/>
    </xf>
    <xf numFmtId="1" fontId="0" fillId="57" borderId="0" xfId="0" applyNumberFormat="1" applyFill="1" applyAlignment="1">
      <alignment/>
    </xf>
    <xf numFmtId="171" fontId="0" fillId="57" borderId="0" xfId="0" applyNumberFormat="1" applyFill="1" applyAlignment="1">
      <alignment/>
    </xf>
    <xf numFmtId="1" fontId="26" fillId="57" borderId="0" xfId="0" applyNumberFormat="1" applyFont="1" applyFill="1" applyAlignment="1">
      <alignment/>
    </xf>
    <xf numFmtId="2" fontId="0" fillId="57" borderId="0" xfId="0" applyNumberFormat="1" applyFill="1" applyAlignment="1">
      <alignment horizontal="center"/>
    </xf>
    <xf numFmtId="0" fontId="0" fillId="57" borderId="0" xfId="0" applyFill="1" applyAlignment="1">
      <alignment horizontal="center"/>
    </xf>
    <xf numFmtId="0" fontId="0" fillId="35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" fontId="42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26" fillId="33" borderId="0" xfId="0" applyFont="1" applyFill="1" applyBorder="1" applyAlignment="1">
      <alignment/>
    </xf>
    <xf numFmtId="0" fontId="0" fillId="51" borderId="0" xfId="0" applyFill="1" applyBorder="1" applyAlignment="1">
      <alignment/>
    </xf>
    <xf numFmtId="171" fontId="0" fillId="0" borderId="0" xfId="0" applyNumberFormat="1" applyBorder="1" applyAlignment="1">
      <alignment/>
    </xf>
    <xf numFmtId="1" fontId="26" fillId="0" borderId="0" xfId="0" applyNumberFormat="1" applyFont="1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5" fillId="46" borderId="0" xfId="0" applyNumberFormat="1" applyFont="1" applyFill="1" applyBorder="1" applyAlignment="1">
      <alignment/>
    </xf>
    <xf numFmtId="0" fontId="6" fillId="46" borderId="0" xfId="0" applyFont="1" applyFill="1" applyBorder="1" applyAlignment="1">
      <alignment/>
    </xf>
    <xf numFmtId="0" fontId="39" fillId="40" borderId="62" xfId="0" applyFont="1" applyFill="1" applyBorder="1" applyAlignment="1">
      <alignment/>
    </xf>
    <xf numFmtId="0" fontId="1" fillId="38" borderId="62" xfId="0" applyFont="1" applyFill="1" applyBorder="1" applyAlignment="1">
      <alignment/>
    </xf>
    <xf numFmtId="1" fontId="41" fillId="0" borderId="62" xfId="0" applyNumberFormat="1" applyFont="1" applyBorder="1" applyAlignment="1">
      <alignment/>
    </xf>
    <xf numFmtId="1" fontId="1" fillId="38" borderId="40" xfId="0" applyNumberFormat="1" applyFont="1" applyFill="1" applyBorder="1" applyAlignment="1">
      <alignment/>
    </xf>
    <xf numFmtId="1" fontId="53" fillId="38" borderId="62" xfId="0" applyNumberFormat="1" applyFont="1" applyFill="1" applyBorder="1" applyAlignment="1">
      <alignment/>
    </xf>
    <xf numFmtId="1" fontId="1" fillId="38" borderId="62" xfId="0" applyNumberFormat="1" applyFont="1" applyFill="1" applyBorder="1" applyAlignment="1">
      <alignment/>
    </xf>
    <xf numFmtId="0" fontId="1" fillId="38" borderId="40" xfId="0" applyFont="1" applyFill="1" applyBorder="1" applyAlignment="1">
      <alignment/>
    </xf>
    <xf numFmtId="0" fontId="0" fillId="38" borderId="62" xfId="0" applyFill="1" applyBorder="1" applyAlignment="1">
      <alignment/>
    </xf>
    <xf numFmtId="1" fontId="25" fillId="38" borderId="62" xfId="0" applyNumberFormat="1" applyFont="1" applyFill="1" applyBorder="1" applyAlignment="1">
      <alignment/>
    </xf>
    <xf numFmtId="0" fontId="1" fillId="38" borderId="64" xfId="0" applyFont="1" applyFill="1" applyBorder="1" applyAlignment="1">
      <alignment/>
    </xf>
    <xf numFmtId="0" fontId="26" fillId="38" borderId="62" xfId="0" applyFont="1" applyFill="1" applyBorder="1" applyAlignment="1">
      <alignment/>
    </xf>
    <xf numFmtId="1" fontId="0" fillId="38" borderId="65" xfId="0" applyNumberFormat="1" applyFill="1" applyBorder="1" applyAlignment="1">
      <alignment/>
    </xf>
    <xf numFmtId="0" fontId="1" fillId="38" borderId="66" xfId="0" applyFont="1" applyFill="1" applyBorder="1" applyAlignment="1">
      <alignment/>
    </xf>
    <xf numFmtId="0" fontId="0" fillId="55" borderId="67" xfId="0" applyFill="1" applyBorder="1" applyAlignment="1">
      <alignment/>
    </xf>
    <xf numFmtId="0" fontId="6" fillId="38" borderId="62" xfId="0" applyFont="1" applyFill="1" applyBorder="1" applyAlignment="1">
      <alignment/>
    </xf>
    <xf numFmtId="1" fontId="6" fillId="0" borderId="62" xfId="0" applyNumberFormat="1" applyFont="1" applyBorder="1" applyAlignment="1">
      <alignment/>
    </xf>
    <xf numFmtId="1" fontId="1" fillId="38" borderId="68" xfId="0" applyNumberFormat="1" applyFont="1" applyFill="1" applyBorder="1" applyAlignment="1">
      <alignment/>
    </xf>
    <xf numFmtId="0" fontId="1" fillId="51" borderId="62" xfId="0" applyFont="1" applyFill="1" applyBorder="1" applyAlignment="1">
      <alignment/>
    </xf>
    <xf numFmtId="171" fontId="1" fillId="38" borderId="62" xfId="0" applyNumberFormat="1" applyFont="1" applyFill="1" applyBorder="1" applyAlignment="1">
      <alignment/>
    </xf>
    <xf numFmtId="2" fontId="1" fillId="38" borderId="62" xfId="0" applyNumberFormat="1" applyFont="1" applyFill="1" applyBorder="1" applyAlignment="1">
      <alignment horizontal="center"/>
    </xf>
    <xf numFmtId="0" fontId="1" fillId="38" borderId="62" xfId="0" applyFont="1" applyFill="1" applyBorder="1" applyAlignment="1">
      <alignment horizontal="center"/>
    </xf>
    <xf numFmtId="1" fontId="0" fillId="0" borderId="69" xfId="0" applyNumberFormat="1" applyBorder="1" applyAlignment="1">
      <alignment/>
    </xf>
    <xf numFmtId="0" fontId="0" fillId="0" borderId="69" xfId="0" applyBorder="1" applyAlignment="1">
      <alignment/>
    </xf>
    <xf numFmtId="1" fontId="0" fillId="0" borderId="70" xfId="0" applyNumberFormat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55" borderId="73" xfId="0" applyFill="1" applyBorder="1" applyAlignment="1">
      <alignment/>
    </xf>
    <xf numFmtId="1" fontId="0" fillId="0" borderId="74" xfId="0" applyNumberFormat="1" applyBorder="1" applyAlignment="1">
      <alignment/>
    </xf>
    <xf numFmtId="0" fontId="54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42" fillId="38" borderId="0" xfId="0" applyFont="1" applyFill="1" applyBorder="1" applyAlignment="1">
      <alignment horizontal="center" wrapText="1"/>
    </xf>
    <xf numFmtId="0" fontId="0" fillId="38" borderId="0" xfId="0" applyFont="1" applyFill="1" applyBorder="1" applyAlignment="1">
      <alignment horizontal="center"/>
    </xf>
    <xf numFmtId="0" fontId="0" fillId="50" borderId="0" xfId="0" applyFont="1" applyFill="1" applyBorder="1" applyAlignment="1">
      <alignment horizontal="center"/>
    </xf>
    <xf numFmtId="0" fontId="0" fillId="38" borderId="0" xfId="0" applyFont="1" applyFill="1" applyBorder="1" applyAlignment="1">
      <alignment horizontal="center" vertical="top" wrapText="1"/>
    </xf>
    <xf numFmtId="0" fontId="0" fillId="38" borderId="0" xfId="0" applyFont="1" applyFill="1" applyBorder="1" applyAlignment="1">
      <alignment vertical="top" wrapText="1"/>
    </xf>
    <xf numFmtId="0" fontId="42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42" fillId="33" borderId="75" xfId="0" applyFont="1" applyFill="1" applyBorder="1" applyAlignment="1">
      <alignment horizontal="center" wrapText="1"/>
    </xf>
    <xf numFmtId="0" fontId="11" fillId="50" borderId="0" xfId="0" applyFont="1" applyFill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55" fillId="33" borderId="76" xfId="0" applyFont="1" applyFill="1" applyBorder="1" applyAlignment="1">
      <alignment horizontal="center" wrapText="1"/>
    </xf>
    <xf numFmtId="0" fontId="42" fillId="33" borderId="77" xfId="0" applyFont="1" applyFill="1" applyBorder="1" applyAlignment="1">
      <alignment horizontal="center" wrapText="1"/>
    </xf>
    <xf numFmtId="0" fontId="0" fillId="50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42" fillId="39" borderId="78" xfId="0" applyFont="1" applyFill="1" applyBorder="1" applyAlignment="1">
      <alignment horizontal="right" wrapText="1" indent="1"/>
    </xf>
    <xf numFmtId="3" fontId="42" fillId="39" borderId="78" xfId="0" applyNumberFormat="1" applyFont="1" applyFill="1" applyBorder="1" applyAlignment="1">
      <alignment horizontal="right" wrapText="1"/>
    </xf>
    <xf numFmtId="0" fontId="42" fillId="39" borderId="78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50" borderId="0" xfId="0" applyFont="1" applyFill="1" applyAlignment="1">
      <alignment horizontal="right"/>
    </xf>
    <xf numFmtId="0" fontId="0" fillId="0" borderId="0" xfId="0" applyFont="1" applyAlignment="1">
      <alignment horizontal="right" vertical="top" wrapText="1"/>
    </xf>
    <xf numFmtId="0" fontId="42" fillId="39" borderId="78" xfId="0" applyFont="1" applyFill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3" fontId="0" fillId="50" borderId="0" xfId="0" applyNumberFormat="1" applyFont="1" applyFill="1" applyAlignment="1">
      <alignment horizontal="right"/>
    </xf>
    <xf numFmtId="3" fontId="0" fillId="35" borderId="0" xfId="0" applyNumberFormat="1" applyFont="1" applyFill="1" applyAlignment="1">
      <alignment horizontal="right"/>
    </xf>
    <xf numFmtId="0" fontId="42" fillId="39" borderId="79" xfId="0" applyFont="1" applyFill="1" applyBorder="1" applyAlignment="1">
      <alignment horizontal="right" wrapText="1" indent="1"/>
    </xf>
    <xf numFmtId="0" fontId="42" fillId="39" borderId="79" xfId="0" applyFont="1" applyFill="1" applyBorder="1" applyAlignment="1">
      <alignment horizontal="right" wrapText="1"/>
    </xf>
    <xf numFmtId="0" fontId="42" fillId="39" borderId="79" xfId="0" applyFont="1" applyFill="1" applyBorder="1" applyAlignment="1">
      <alignment horizontal="center" wrapText="1"/>
    </xf>
    <xf numFmtId="3" fontId="0" fillId="35" borderId="0" xfId="0" applyNumberFormat="1" applyFont="1" applyFill="1" applyBorder="1" applyAlignment="1">
      <alignment horizontal="right"/>
    </xf>
    <xf numFmtId="3" fontId="0" fillId="5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right" vertical="top" wrapText="1"/>
    </xf>
    <xf numFmtId="0" fontId="42" fillId="38" borderId="80" xfId="0" applyFont="1" applyFill="1" applyBorder="1" applyAlignment="1">
      <alignment horizontal="right" wrapText="1" indent="1"/>
    </xf>
    <xf numFmtId="0" fontId="42" fillId="38" borderId="80" xfId="0" applyFont="1" applyFill="1" applyBorder="1" applyAlignment="1">
      <alignment horizontal="right" wrapText="1"/>
    </xf>
    <xf numFmtId="0" fontId="42" fillId="38" borderId="80" xfId="0" applyFont="1" applyFill="1" applyBorder="1" applyAlignment="1">
      <alignment horizontal="center" wrapText="1"/>
    </xf>
    <xf numFmtId="3" fontId="0" fillId="38" borderId="62" xfId="0" applyNumberFormat="1" applyFont="1" applyFill="1" applyBorder="1" applyAlignment="1">
      <alignment horizontal="right"/>
    </xf>
    <xf numFmtId="3" fontId="0" fillId="50" borderId="62" xfId="0" applyNumberFormat="1" applyFont="1" applyFill="1" applyBorder="1" applyAlignment="1">
      <alignment horizontal="right"/>
    </xf>
    <xf numFmtId="0" fontId="0" fillId="38" borderId="62" xfId="0" applyFont="1" applyFill="1" applyBorder="1" applyAlignment="1">
      <alignment horizontal="right" vertical="top" wrapText="1"/>
    </xf>
    <xf numFmtId="0" fontId="0" fillId="38" borderId="62" xfId="0" applyFont="1" applyFill="1" applyBorder="1" applyAlignment="1">
      <alignment vertical="top" wrapText="1"/>
    </xf>
    <xf numFmtId="0" fontId="42" fillId="58" borderId="81" xfId="0" applyFont="1" applyFill="1" applyBorder="1" applyAlignment="1">
      <alignment horizontal="right" wrapText="1" indent="1"/>
    </xf>
    <xf numFmtId="0" fontId="42" fillId="58" borderId="78" xfId="0" applyFont="1" applyFill="1" applyBorder="1" applyAlignment="1">
      <alignment horizontal="right" wrapText="1"/>
    </xf>
    <xf numFmtId="0" fontId="42" fillId="58" borderId="78" xfId="0" applyFont="1" applyFill="1" applyBorder="1" applyAlignment="1">
      <alignment horizontal="center" wrapText="1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7" fillId="0" borderId="82" xfId="0" applyFont="1" applyBorder="1" applyAlignment="1" applyProtection="1">
      <alignment/>
      <protection/>
    </xf>
    <xf numFmtId="0" fontId="0" fillId="0" borderId="83" xfId="0" applyBorder="1" applyAlignment="1" applyProtection="1">
      <alignment/>
      <protection/>
    </xf>
    <xf numFmtId="0" fontId="24" fillId="33" borderId="0" xfId="0" applyFont="1" applyFill="1" applyBorder="1" applyAlignment="1" applyProtection="1">
      <alignment horizontal="center"/>
      <protection/>
    </xf>
    <xf numFmtId="0" fontId="24" fillId="33" borderId="83" xfId="0" applyFont="1" applyFill="1" applyBorder="1" applyAlignment="1" applyProtection="1">
      <alignment horizontal="center"/>
      <protection/>
    </xf>
    <xf numFmtId="0" fontId="7" fillId="36" borderId="11" xfId="0" applyFont="1" applyFill="1" applyBorder="1" applyAlignment="1" applyProtection="1">
      <alignment/>
      <protection locked="0"/>
    </xf>
    <xf numFmtId="0" fontId="24" fillId="33" borderId="84" xfId="0" applyFont="1" applyFill="1" applyBorder="1" applyAlignment="1" applyProtection="1">
      <alignment horizontal="center"/>
      <protection/>
    </xf>
    <xf numFmtId="0" fontId="24" fillId="33" borderId="12" xfId="0" applyFont="1" applyFill="1" applyBorder="1" applyAlignment="1" applyProtection="1">
      <alignment horizontal="center"/>
      <protection/>
    </xf>
    <xf numFmtId="0" fontId="24" fillId="36" borderId="12" xfId="0" applyFont="1" applyFill="1" applyBorder="1" applyAlignment="1" applyProtection="1">
      <alignment horizontal="center"/>
      <protection locked="0"/>
    </xf>
    <xf numFmtId="0" fontId="0" fillId="0" borderId="85" xfId="0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52" fillId="36" borderId="0" xfId="0" applyFont="1" applyFill="1" applyAlignment="1" applyProtection="1">
      <alignment/>
      <protection/>
    </xf>
    <xf numFmtId="0" fontId="5" fillId="36" borderId="0" xfId="0" applyFont="1" applyFill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9" fillId="0" borderId="86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59" fillId="0" borderId="0" xfId="0" applyFont="1" applyBorder="1" applyAlignment="1" applyProtection="1">
      <alignment horizontal="right"/>
      <protection/>
    </xf>
    <xf numFmtId="0" fontId="59" fillId="36" borderId="0" xfId="0" applyFont="1" applyFill="1" applyBorder="1" applyAlignment="1" applyProtection="1">
      <alignment/>
      <protection locked="0"/>
    </xf>
    <xf numFmtId="0" fontId="58" fillId="36" borderId="14" xfId="0" applyFont="1" applyFill="1" applyBorder="1" applyAlignment="1" applyProtection="1">
      <alignment/>
      <protection locked="0"/>
    </xf>
    <xf numFmtId="0" fontId="24" fillId="33" borderId="87" xfId="0" applyFont="1" applyFill="1" applyBorder="1" applyAlignment="1" applyProtection="1">
      <alignment horizontal="center"/>
      <protection/>
    </xf>
    <xf numFmtId="0" fontId="24" fillId="52" borderId="0" xfId="0" applyFont="1" applyFill="1" applyBorder="1" applyAlignment="1" applyProtection="1">
      <alignment horizontal="center"/>
      <protection/>
    </xf>
    <xf numFmtId="0" fontId="24" fillId="52" borderId="0" xfId="0" applyFont="1" applyFill="1" applyBorder="1" applyAlignment="1" applyProtection="1">
      <alignment horizontal="right"/>
      <protection/>
    </xf>
    <xf numFmtId="2" fontId="0" fillId="52" borderId="0" xfId="0" applyNumberFormat="1" applyFill="1" applyBorder="1" applyAlignment="1" applyProtection="1">
      <alignment/>
      <protection/>
    </xf>
    <xf numFmtId="0" fontId="25" fillId="52" borderId="0" xfId="0" applyFont="1" applyFill="1" applyBorder="1" applyAlignment="1" applyProtection="1">
      <alignment horizontal="left"/>
      <protection/>
    </xf>
    <xf numFmtId="0" fontId="5" fillId="0" borderId="0" xfId="0" applyFont="1" applyBorder="1" applyAlignment="1" applyProtection="1">
      <alignment/>
      <protection/>
    </xf>
    <xf numFmtId="0" fontId="24" fillId="33" borderId="15" xfId="0" applyFont="1" applyFill="1" applyBorder="1" applyAlignment="1" applyProtection="1">
      <alignment horizontal="center"/>
      <protection/>
    </xf>
    <xf numFmtId="0" fontId="5" fillId="0" borderId="88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left"/>
      <protection/>
    </xf>
    <xf numFmtId="0" fontId="6" fillId="43" borderId="83" xfId="0" applyFont="1" applyFill="1" applyBorder="1" applyAlignment="1" applyProtection="1">
      <alignment horizontal="center" wrapText="1"/>
      <protection/>
    </xf>
    <xf numFmtId="0" fontId="25" fillId="33" borderId="83" xfId="0" applyFont="1" applyFill="1" applyBorder="1" applyAlignment="1" applyProtection="1">
      <alignment horizontal="center" wrapText="1"/>
      <protection/>
    </xf>
    <xf numFmtId="0" fontId="11" fillId="39" borderId="89" xfId="0" applyFont="1" applyFill="1" applyBorder="1" applyAlignment="1" applyProtection="1">
      <alignment horizontal="center"/>
      <protection/>
    </xf>
    <xf numFmtId="0" fontId="11" fillId="39" borderId="83" xfId="0" applyFont="1" applyFill="1" applyBorder="1" applyAlignment="1" applyProtection="1">
      <alignment horizontal="center"/>
      <protection/>
    </xf>
    <xf numFmtId="0" fontId="11" fillId="33" borderId="83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1" fillId="39" borderId="90" xfId="0" applyFont="1" applyFill="1" applyBorder="1" applyAlignment="1" applyProtection="1">
      <alignment horizontal="center"/>
      <protection/>
    </xf>
    <xf numFmtId="0" fontId="11" fillId="33" borderId="91" xfId="0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4" fillId="43" borderId="87" xfId="0" applyFont="1" applyFill="1" applyBorder="1" applyAlignment="1" applyProtection="1">
      <alignment horizontal="center"/>
      <protection/>
    </xf>
    <xf numFmtId="0" fontId="24" fillId="39" borderId="92" xfId="0" applyFont="1" applyFill="1" applyBorder="1" applyAlignment="1" applyProtection="1">
      <alignment horizontal="center"/>
      <protection/>
    </xf>
    <xf numFmtId="0" fontId="24" fillId="39" borderId="87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24" fillId="39" borderId="93" xfId="0" applyFont="1" applyFill="1" applyBorder="1" applyAlignment="1" applyProtection="1">
      <alignment horizontal="center"/>
      <protection/>
    </xf>
    <xf numFmtId="0" fontId="24" fillId="33" borderId="94" xfId="0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4" fontId="0" fillId="33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4" fontId="0" fillId="36" borderId="35" xfId="0" applyNumberFormat="1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/>
    </xf>
    <xf numFmtId="0" fontId="26" fillId="36" borderId="0" xfId="0" applyFont="1" applyFill="1" applyBorder="1" applyAlignment="1" applyProtection="1">
      <alignment horizontal="center"/>
      <protection locked="0"/>
    </xf>
    <xf numFmtId="164" fontId="0" fillId="0" borderId="36" xfId="0" applyNumberFormat="1" applyBorder="1" applyAlignment="1" applyProtection="1">
      <alignment/>
      <protection/>
    </xf>
    <xf numFmtId="0" fontId="26" fillId="35" borderId="8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6" fillId="52" borderId="0" xfId="0" applyFont="1" applyFill="1" applyBorder="1" applyAlignment="1" applyProtection="1">
      <alignment/>
      <protection/>
    </xf>
    <xf numFmtId="0" fontId="26" fillId="43" borderId="0" xfId="0" applyFont="1" applyFill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0" fillId="39" borderId="14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15" xfId="0" applyFill="1" applyBorder="1" applyAlignment="1" applyProtection="1">
      <alignment/>
      <protection/>
    </xf>
    <xf numFmtId="0" fontId="0" fillId="0" borderId="88" xfId="0" applyBorder="1" applyAlignment="1" applyProtection="1">
      <alignment/>
      <protection/>
    </xf>
    <xf numFmtId="3" fontId="0" fillId="33" borderId="0" xfId="0" applyNumberFormat="1" applyFill="1" applyAlignment="1" applyProtection="1">
      <alignment/>
      <protection/>
    </xf>
    <xf numFmtId="0" fontId="0" fillId="36" borderId="86" xfId="0" applyFill="1" applyBorder="1" applyAlignment="1" applyProtection="1">
      <alignment/>
      <protection/>
    </xf>
    <xf numFmtId="4" fontId="0" fillId="36" borderId="0" xfId="0" applyNumberFormat="1" applyFill="1" applyAlignment="1" applyProtection="1">
      <alignment/>
      <protection/>
    </xf>
    <xf numFmtId="0" fontId="0" fillId="39" borderId="19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39" borderId="21" xfId="0" applyFill="1" applyBorder="1" applyAlignment="1" applyProtection="1">
      <alignment/>
      <protection/>
    </xf>
    <xf numFmtId="164" fontId="0" fillId="0" borderId="35" xfId="0" applyNumberFormat="1" applyBorder="1" applyAlignment="1" applyProtection="1">
      <alignment/>
      <protection/>
    </xf>
    <xf numFmtId="164" fontId="0" fillId="36" borderId="0" xfId="0" applyNumberFormat="1" applyFill="1" applyBorder="1" applyAlignment="1" applyProtection="1">
      <alignment/>
      <protection locked="0"/>
    </xf>
    <xf numFmtId="0" fontId="0" fillId="0" borderId="86" xfId="0" applyBorder="1" applyAlignment="1" applyProtection="1">
      <alignment/>
      <protection/>
    </xf>
    <xf numFmtId="164" fontId="0" fillId="36" borderId="36" xfId="0" applyNumberFormat="1" applyFill="1" applyBorder="1" applyAlignment="1" applyProtection="1">
      <alignment/>
      <protection locked="0"/>
    </xf>
    <xf numFmtId="0" fontId="0" fillId="0" borderId="95" xfId="0" applyBorder="1" applyAlignment="1" applyProtection="1">
      <alignment/>
      <protection/>
    </xf>
    <xf numFmtId="0" fontId="0" fillId="0" borderId="87" xfId="0" applyBorder="1" applyAlignment="1" applyProtection="1">
      <alignment/>
      <protection/>
    </xf>
    <xf numFmtId="0" fontId="0" fillId="0" borderId="94" xfId="0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wrapText="1"/>
      <protection/>
    </xf>
    <xf numFmtId="173" fontId="6" fillId="0" borderId="0" xfId="0" applyNumberFormat="1" applyFont="1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4" fillId="35" borderId="0" xfId="0" applyNumberFormat="1" applyFont="1" applyFill="1" applyAlignment="1" applyProtection="1">
      <alignment/>
      <protection/>
    </xf>
    <xf numFmtId="4" fontId="0" fillId="35" borderId="0" xfId="0" applyNumberForma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34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63" fillId="35" borderId="0" xfId="0" applyFont="1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63" fillId="35" borderId="0" xfId="0" applyFont="1" applyFill="1" applyAlignment="1" applyProtection="1">
      <alignment horizontal="left"/>
      <protection/>
    </xf>
    <xf numFmtId="0" fontId="7" fillId="35" borderId="0" xfId="0" applyFont="1" applyFill="1" applyAlignment="1" applyProtection="1">
      <alignment horizontal="center"/>
      <protection/>
    </xf>
    <xf numFmtId="0" fontId="0" fillId="35" borderId="0" xfId="0" applyFill="1" applyAlignment="1" applyProtection="1" quotePrefix="1">
      <alignment horizontal="center"/>
      <protection/>
    </xf>
    <xf numFmtId="0" fontId="35" fillId="36" borderId="0" xfId="0" applyFont="1" applyFill="1" applyAlignment="1" applyProtection="1">
      <alignment/>
      <protection locked="0"/>
    </xf>
    <xf numFmtId="0" fontId="35" fillId="34" borderId="0" xfId="0" applyFont="1" applyFill="1" applyAlignment="1" applyProtection="1">
      <alignment/>
      <protection locked="0"/>
    </xf>
    <xf numFmtId="0" fontId="35" fillId="0" borderId="0" xfId="0" applyFont="1" applyAlignment="1" applyProtection="1">
      <alignment/>
      <protection/>
    </xf>
    <xf numFmtId="4" fontId="35" fillId="0" borderId="0" xfId="0" applyNumberFormat="1" applyFont="1" applyAlignment="1" applyProtection="1">
      <alignment/>
      <protection/>
    </xf>
    <xf numFmtId="4" fontId="35" fillId="33" borderId="0" xfId="0" applyNumberFormat="1" applyFont="1" applyFill="1" applyAlignment="1" applyProtection="1">
      <alignment/>
      <protection/>
    </xf>
    <xf numFmtId="0" fontId="35" fillId="0" borderId="0" xfId="0" applyFont="1" applyAlignment="1" applyProtection="1">
      <alignment/>
      <protection locked="0"/>
    </xf>
    <xf numFmtId="0" fontId="64" fillId="34" borderId="0" xfId="0" applyFont="1" applyFill="1" applyAlignment="1" applyProtection="1">
      <alignment/>
      <protection locked="0"/>
    </xf>
    <xf numFmtId="2" fontId="35" fillId="0" borderId="0" xfId="0" applyNumberFormat="1" applyFont="1" applyAlignment="1" applyProtection="1">
      <alignment/>
      <protection/>
    </xf>
    <xf numFmtId="2" fontId="35" fillId="33" borderId="0" xfId="0" applyNumberFormat="1" applyFont="1" applyFill="1" applyAlignment="1" applyProtection="1">
      <alignment/>
      <protection/>
    </xf>
    <xf numFmtId="0" fontId="65" fillId="0" borderId="0" xfId="0" applyFont="1" applyAlignment="1">
      <alignment horizontal="left"/>
    </xf>
    <xf numFmtId="0" fontId="66" fillId="0" borderId="0" xfId="0" applyFont="1" applyAlignment="1" applyProtection="1">
      <alignment/>
      <protection/>
    </xf>
    <xf numFmtId="0" fontId="67" fillId="0" borderId="0" xfId="0" applyFont="1" applyAlignment="1">
      <alignment horizontal="left" indent="3"/>
    </xf>
    <xf numFmtId="0" fontId="22" fillId="0" borderId="0" xfId="45" applyFont="1" applyAlignment="1" applyProtection="1">
      <alignment horizontal="left" indent="14"/>
      <protection/>
    </xf>
    <xf numFmtId="0" fontId="56" fillId="0" borderId="0" xfId="0" applyFont="1" applyAlignment="1">
      <alignment horizontal="left" indent="14"/>
    </xf>
    <xf numFmtId="0" fontId="56" fillId="0" borderId="0" xfId="0" applyFont="1" applyAlignment="1">
      <alignment horizontal="left"/>
    </xf>
    <xf numFmtId="0" fontId="42" fillId="33" borderId="96" xfId="0" applyFont="1" applyFill="1" applyBorder="1" applyAlignment="1">
      <alignment wrapText="1"/>
    </xf>
    <xf numFmtId="0" fontId="42" fillId="33" borderId="97" xfId="0" applyFont="1" applyFill="1" applyBorder="1" applyAlignment="1">
      <alignment wrapText="1"/>
    </xf>
    <xf numFmtId="0" fontId="11" fillId="0" borderId="0" xfId="0" applyFont="1" applyAlignment="1" applyProtection="1">
      <alignment/>
      <protection/>
    </xf>
    <xf numFmtId="0" fontId="42" fillId="39" borderId="98" xfId="0" applyNumberFormat="1" applyFont="1" applyFill="1" applyBorder="1" applyAlignment="1">
      <alignment wrapText="1"/>
    </xf>
    <xf numFmtId="3" fontId="42" fillId="39" borderId="98" xfId="0" applyNumberFormat="1" applyFont="1" applyFill="1" applyBorder="1" applyAlignment="1">
      <alignment wrapText="1"/>
    </xf>
    <xf numFmtId="0" fontId="42" fillId="39" borderId="98" xfId="0" applyFont="1" applyFill="1" applyBorder="1" applyAlignment="1">
      <alignment horizontal="center" wrapText="1"/>
    </xf>
    <xf numFmtId="3" fontId="0" fillId="0" borderId="0" xfId="0" applyNumberFormat="1" applyAlignment="1" applyProtection="1">
      <alignment horizontal="right"/>
      <protection/>
    </xf>
    <xf numFmtId="0" fontId="42" fillId="39" borderId="98" xfId="0" applyFont="1" applyFill="1" applyBorder="1" applyAlignment="1">
      <alignment wrapText="1"/>
    </xf>
    <xf numFmtId="0" fontId="42" fillId="58" borderId="98" xfId="0" applyNumberFormat="1" applyFont="1" applyFill="1" applyBorder="1" applyAlignment="1">
      <alignment wrapText="1"/>
    </xf>
    <xf numFmtId="0" fontId="42" fillId="58" borderId="98" xfId="0" applyFont="1" applyFill="1" applyBorder="1" applyAlignment="1">
      <alignment wrapText="1"/>
    </xf>
    <xf numFmtId="0" fontId="42" fillId="58" borderId="98" xfId="0" applyFont="1" applyFill="1" applyBorder="1" applyAlignment="1">
      <alignment horizontal="center" wrapText="1"/>
    </xf>
    <xf numFmtId="0" fontId="42" fillId="59" borderId="98" xfId="0" applyNumberFormat="1" applyFont="1" applyFill="1" applyBorder="1" applyAlignment="1">
      <alignment wrapText="1"/>
    </xf>
    <xf numFmtId="0" fontId="42" fillId="59" borderId="98" xfId="0" applyFont="1" applyFill="1" applyBorder="1" applyAlignment="1">
      <alignment wrapText="1"/>
    </xf>
    <xf numFmtId="0" fontId="42" fillId="59" borderId="98" xfId="0" applyFont="1" applyFill="1" applyBorder="1" applyAlignment="1">
      <alignment horizontal="center" wrapText="1"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7" fillId="35" borderId="0" xfId="0" applyFont="1" applyFill="1" applyAlignment="1" applyProtection="1">
      <alignment/>
      <protection locked="0"/>
    </xf>
    <xf numFmtId="0" fontId="78" fillId="52" borderId="0" xfId="0" applyFont="1" applyFill="1" applyAlignment="1">
      <alignment horizontal="left"/>
    </xf>
    <xf numFmtId="0" fontId="77" fillId="52" borderId="0" xfId="0" applyFont="1" applyFill="1" applyAlignment="1">
      <alignment/>
    </xf>
    <xf numFmtId="0" fontId="77" fillId="0" borderId="99" xfId="0" applyFont="1" applyBorder="1" applyAlignment="1">
      <alignment/>
    </xf>
    <xf numFmtId="0" fontId="77" fillId="0" borderId="100" xfId="0" applyFont="1" applyBorder="1" applyAlignment="1">
      <alignment/>
    </xf>
    <xf numFmtId="0" fontId="77" fillId="0" borderId="101" xfId="0" applyFont="1" applyBorder="1" applyAlignment="1">
      <alignment/>
    </xf>
    <xf numFmtId="0" fontId="77" fillId="38" borderId="102" xfId="0" applyFont="1" applyFill="1" applyBorder="1" applyAlignment="1">
      <alignment/>
    </xf>
    <xf numFmtId="0" fontId="77" fillId="38" borderId="103" xfId="0" applyFont="1" applyFill="1" applyBorder="1" applyAlignment="1">
      <alignment/>
    </xf>
    <xf numFmtId="0" fontId="77" fillId="0" borderId="104" xfId="0" applyFont="1" applyBorder="1" applyAlignment="1">
      <alignment/>
    </xf>
    <xf numFmtId="0" fontId="77" fillId="0" borderId="105" xfId="0" applyFont="1" applyBorder="1" applyAlignment="1">
      <alignment/>
    </xf>
    <xf numFmtId="0" fontId="77" fillId="34" borderId="106" xfId="0" applyFont="1" applyFill="1" applyBorder="1" applyAlignment="1">
      <alignment/>
    </xf>
    <xf numFmtId="0" fontId="77" fillId="34" borderId="0" xfId="0" applyFont="1" applyFill="1" applyBorder="1" applyAlignment="1">
      <alignment/>
    </xf>
    <xf numFmtId="0" fontId="77" fillId="34" borderId="104" xfId="0" applyFont="1" applyFill="1" applyBorder="1" applyAlignment="1">
      <alignment/>
    </xf>
    <xf numFmtId="0" fontId="77" fillId="34" borderId="105" xfId="0" applyFont="1" applyFill="1" applyBorder="1" applyAlignment="1">
      <alignment/>
    </xf>
    <xf numFmtId="0" fontId="77" fillId="35" borderId="106" xfId="0" applyFont="1" applyFill="1" applyBorder="1" applyAlignment="1" applyProtection="1">
      <alignment/>
      <protection locked="0"/>
    </xf>
    <xf numFmtId="1" fontId="77" fillId="0" borderId="0" xfId="0" applyNumberFormat="1" applyFont="1" applyBorder="1" applyAlignment="1">
      <alignment/>
    </xf>
    <xf numFmtId="2" fontId="77" fillId="0" borderId="104" xfId="0" applyNumberFormat="1" applyFont="1" applyBorder="1" applyAlignment="1">
      <alignment/>
    </xf>
    <xf numFmtId="1" fontId="77" fillId="0" borderId="105" xfId="0" applyNumberFormat="1" applyFont="1" applyBorder="1" applyAlignment="1">
      <alignment/>
    </xf>
    <xf numFmtId="0" fontId="77" fillId="35" borderId="107" xfId="0" applyFont="1" applyFill="1" applyBorder="1" applyAlignment="1" applyProtection="1">
      <alignment/>
      <protection locked="0"/>
    </xf>
    <xf numFmtId="1" fontId="77" fillId="0" borderId="108" xfId="0" applyNumberFormat="1" applyFont="1" applyBorder="1" applyAlignment="1">
      <alignment/>
    </xf>
    <xf numFmtId="2" fontId="77" fillId="0" borderId="109" xfId="0" applyNumberFormat="1" applyFont="1" applyBorder="1" applyAlignment="1">
      <alignment/>
    </xf>
    <xf numFmtId="1" fontId="77" fillId="0" borderId="110" xfId="0" applyNumberFormat="1" applyFont="1" applyBorder="1" applyAlignment="1">
      <alignment/>
    </xf>
    <xf numFmtId="0" fontId="79" fillId="0" borderId="0" xfId="0" applyFont="1" applyAlignment="1">
      <alignment horizontal="center"/>
    </xf>
    <xf numFmtId="0" fontId="147" fillId="0" borderId="0" xfId="0" applyFont="1" applyAlignment="1">
      <alignment horizontal="left"/>
    </xf>
    <xf numFmtId="0" fontId="147" fillId="0" borderId="0" xfId="0" applyFont="1" applyAlignment="1">
      <alignment/>
    </xf>
    <xf numFmtId="0" fontId="0" fillId="0" borderId="0" xfId="0" applyFont="1" applyAlignment="1">
      <alignment/>
    </xf>
    <xf numFmtId="0" fontId="148" fillId="0" borderId="0" xfId="0" applyFont="1" applyAlignment="1">
      <alignment/>
    </xf>
    <xf numFmtId="0" fontId="34" fillId="0" borderId="0" xfId="0" applyFont="1" applyAlignment="1">
      <alignment/>
    </xf>
    <xf numFmtId="0" fontId="10" fillId="4" borderId="111" xfId="0" applyFont="1" applyFill="1" applyBorder="1" applyAlignment="1">
      <alignment/>
    </xf>
    <xf numFmtId="0" fontId="0" fillId="4" borderId="112" xfId="0" applyFill="1" applyBorder="1" applyAlignment="1">
      <alignment/>
    </xf>
    <xf numFmtId="0" fontId="0" fillId="4" borderId="113" xfId="0" applyFill="1" applyBorder="1" applyAlignment="1">
      <alignment/>
    </xf>
    <xf numFmtId="0" fontId="10" fillId="4" borderId="114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115" xfId="0" applyFill="1" applyBorder="1" applyAlignment="1">
      <alignment/>
    </xf>
    <xf numFmtId="0" fontId="0" fillId="4" borderId="114" xfId="0" applyFill="1" applyBorder="1" applyAlignment="1">
      <alignment/>
    </xf>
    <xf numFmtId="0" fontId="19" fillId="4" borderId="0" xfId="0" applyFont="1" applyFill="1" applyBorder="1" applyAlignment="1">
      <alignment/>
    </xf>
    <xf numFmtId="0" fontId="0" fillId="4" borderId="116" xfId="0" applyFill="1" applyBorder="1" applyAlignment="1">
      <alignment/>
    </xf>
    <xf numFmtId="0" fontId="0" fillId="4" borderId="117" xfId="0" applyFill="1" applyBorder="1" applyAlignment="1">
      <alignment/>
    </xf>
    <xf numFmtId="0" fontId="19" fillId="4" borderId="117" xfId="0" applyFont="1" applyFill="1" applyBorder="1" applyAlignment="1">
      <alignment/>
    </xf>
    <xf numFmtId="0" fontId="23" fillId="56" borderId="11" xfId="0" applyFont="1" applyFill="1" applyBorder="1" applyAlignment="1">
      <alignment/>
    </xf>
    <xf numFmtId="0" fontId="0" fillId="56" borderId="12" xfId="0" applyFill="1" applyBorder="1" applyAlignment="1">
      <alignment/>
    </xf>
    <xf numFmtId="0" fontId="0" fillId="56" borderId="13" xfId="0" applyFill="1" applyBorder="1" applyAlignment="1">
      <alignment/>
    </xf>
    <xf numFmtId="0" fontId="0" fillId="56" borderId="14" xfId="0" applyFill="1" applyBorder="1" applyAlignment="1">
      <alignment/>
    </xf>
    <xf numFmtId="0" fontId="23" fillId="56" borderId="0" xfId="0" applyFont="1" applyFill="1" applyBorder="1" applyAlignment="1">
      <alignment/>
    </xf>
    <xf numFmtId="0" fontId="0" fillId="56" borderId="0" xfId="0" applyFill="1" applyBorder="1" applyAlignment="1">
      <alignment/>
    </xf>
    <xf numFmtId="0" fontId="0" fillId="56" borderId="15" xfId="0" applyFill="1" applyBorder="1" applyAlignment="1">
      <alignment/>
    </xf>
    <xf numFmtId="0" fontId="10" fillId="56" borderId="0" xfId="0" applyFont="1" applyFill="1" applyBorder="1" applyAlignment="1">
      <alignment/>
    </xf>
    <xf numFmtId="0" fontId="0" fillId="56" borderId="19" xfId="0" applyFill="1" applyBorder="1" applyAlignment="1">
      <alignment/>
    </xf>
    <xf numFmtId="0" fontId="10" fillId="56" borderId="20" xfId="0" applyFont="1" applyFill="1" applyBorder="1" applyAlignment="1">
      <alignment/>
    </xf>
    <xf numFmtId="0" fontId="0" fillId="56" borderId="20" xfId="0" applyFill="1" applyBorder="1" applyAlignment="1">
      <alignment/>
    </xf>
    <xf numFmtId="0" fontId="0" fillId="56" borderId="21" xfId="0" applyFill="1" applyBorder="1" applyAlignment="1">
      <alignment/>
    </xf>
    <xf numFmtId="0" fontId="1" fillId="0" borderId="0" xfId="0" applyFont="1" applyAlignment="1">
      <alignment/>
    </xf>
    <xf numFmtId="0" fontId="36" fillId="0" borderId="0" xfId="0" applyFont="1" applyAlignment="1">
      <alignment/>
    </xf>
    <xf numFmtId="0" fontId="121" fillId="0" borderId="0" xfId="45" applyAlignment="1" applyProtection="1">
      <alignment/>
      <protection/>
    </xf>
    <xf numFmtId="0" fontId="0" fillId="0" borderId="0" xfId="0" applyAlignment="1">
      <alignment/>
    </xf>
    <xf numFmtId="0" fontId="121" fillId="4" borderId="0" xfId="45" applyFill="1" applyBorder="1" applyAlignment="1" applyProtection="1">
      <alignment/>
      <protection/>
    </xf>
    <xf numFmtId="0" fontId="0" fillId="47" borderId="0" xfId="0" applyFill="1" applyAlignment="1">
      <alignment/>
    </xf>
    <xf numFmtId="0" fontId="0" fillId="6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47" borderId="0" xfId="0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47" borderId="14" xfId="0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47" borderId="20" xfId="0" applyFill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47" borderId="15" xfId="0" applyFill="1" applyBorder="1" applyAlignment="1" applyProtection="1">
      <alignment/>
      <protection locked="0"/>
    </xf>
    <xf numFmtId="0" fontId="0" fillId="47" borderId="21" xfId="0" applyFill="1" applyBorder="1" applyAlignment="1" applyProtection="1">
      <alignment/>
      <protection locked="0"/>
    </xf>
    <xf numFmtId="0" fontId="0" fillId="49" borderId="0" xfId="0" applyFill="1" applyAlignment="1">
      <alignment/>
    </xf>
    <xf numFmtId="0" fontId="26" fillId="0" borderId="12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7" borderId="15" xfId="0" applyFill="1" applyBorder="1" applyAlignment="1">
      <alignment/>
    </xf>
    <xf numFmtId="0" fontId="0" fillId="7" borderId="21" xfId="0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7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26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60" borderId="0" xfId="0" applyFill="1" applyAlignment="1">
      <alignment wrapText="1"/>
    </xf>
    <xf numFmtId="0" fontId="36" fillId="34" borderId="118" xfId="0" applyFont="1" applyFill="1" applyBorder="1" applyAlignment="1">
      <alignment horizontal="left"/>
    </xf>
    <xf numFmtId="1" fontId="36" fillId="0" borderId="118" xfId="0" applyNumberFormat="1" applyFont="1" applyBorder="1" applyAlignment="1">
      <alignment/>
    </xf>
    <xf numFmtId="0" fontId="77" fillId="0" borderId="119" xfId="0" applyFont="1" applyBorder="1" applyAlignment="1">
      <alignment/>
    </xf>
    <xf numFmtId="0" fontId="77" fillId="34" borderId="119" xfId="0" applyFont="1" applyFill="1" applyBorder="1" applyAlignment="1">
      <alignment/>
    </xf>
    <xf numFmtId="0" fontId="77" fillId="36" borderId="119" xfId="0" applyFont="1" applyFill="1" applyBorder="1" applyAlignment="1" applyProtection="1">
      <alignment/>
      <protection locked="0"/>
    </xf>
    <xf numFmtId="0" fontId="77" fillId="36" borderId="120" xfId="0" applyFont="1" applyFill="1" applyBorder="1" applyAlignment="1" applyProtection="1">
      <alignment/>
      <protection locked="0"/>
    </xf>
    <xf numFmtId="0" fontId="35" fillId="33" borderId="11" xfId="0" applyFont="1" applyFill="1" applyBorder="1" applyAlignment="1">
      <alignment/>
    </xf>
    <xf numFmtId="0" fontId="35" fillId="33" borderId="12" xfId="0" applyFont="1" applyFill="1" applyBorder="1" applyAlignment="1">
      <alignment/>
    </xf>
    <xf numFmtId="0" fontId="35" fillId="33" borderId="13" xfId="0" applyFont="1" applyFill="1" applyBorder="1" applyAlignment="1">
      <alignment/>
    </xf>
    <xf numFmtId="0" fontId="77" fillId="34" borderId="14" xfId="0" applyFont="1" applyFill="1" applyBorder="1" applyAlignment="1">
      <alignment/>
    </xf>
    <xf numFmtId="0" fontId="77" fillId="34" borderId="15" xfId="0" applyFont="1" applyFill="1" applyBorder="1" applyAlignment="1">
      <alignment/>
    </xf>
    <xf numFmtId="1" fontId="76" fillId="33" borderId="14" xfId="0" applyNumberFormat="1" applyFont="1" applyFill="1" applyBorder="1" applyAlignment="1">
      <alignment/>
    </xf>
    <xf numFmtId="0" fontId="77" fillId="0" borderId="15" xfId="0" applyFont="1" applyBorder="1" applyAlignment="1">
      <alignment/>
    </xf>
    <xf numFmtId="1" fontId="76" fillId="33" borderId="19" xfId="0" applyNumberFormat="1" applyFont="1" applyFill="1" applyBorder="1" applyAlignment="1">
      <alignment/>
    </xf>
    <xf numFmtId="1" fontId="36" fillId="0" borderId="121" xfId="0" applyNumberFormat="1" applyFont="1" applyBorder="1" applyAlignment="1">
      <alignment/>
    </xf>
    <xf numFmtId="0" fontId="77" fillId="0" borderId="21" xfId="0" applyFont="1" applyBorder="1" applyAlignment="1">
      <alignment/>
    </xf>
    <xf numFmtId="0" fontId="121" fillId="4" borderId="0" xfId="45" applyFill="1" applyBorder="1" applyAlignment="1" applyProtection="1">
      <alignment/>
      <protection/>
    </xf>
    <xf numFmtId="0" fontId="121" fillId="0" borderId="0" xfId="45" applyAlignment="1" applyProtection="1">
      <alignment/>
      <protection/>
    </xf>
    <xf numFmtId="0" fontId="121" fillId="0" borderId="115" xfId="45" applyBorder="1" applyAlignment="1" applyProtection="1">
      <alignment/>
      <protection/>
    </xf>
    <xf numFmtId="0" fontId="0" fillId="0" borderId="0" xfId="0" applyAlignment="1">
      <alignment/>
    </xf>
    <xf numFmtId="0" fontId="121" fillId="4" borderId="117" xfId="45" applyFill="1" applyBorder="1" applyAlignment="1" applyProtection="1">
      <alignment/>
      <protection/>
    </xf>
    <xf numFmtId="0" fontId="0" fillId="0" borderId="117" xfId="0" applyBorder="1" applyAlignment="1">
      <alignment/>
    </xf>
    <xf numFmtId="0" fontId="0" fillId="0" borderId="122" xfId="0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51" borderId="0" xfId="0" applyFont="1" applyFill="1" applyAlignment="1">
      <alignment horizontal="right" wrapText="1"/>
    </xf>
    <xf numFmtId="0" fontId="31" fillId="0" borderId="0" xfId="0" applyFont="1" applyAlignment="1">
      <alignment horizontal="center"/>
    </xf>
    <xf numFmtId="0" fontId="0" fillId="0" borderId="71" xfId="0" applyBorder="1" applyAlignment="1">
      <alignment/>
    </xf>
    <xf numFmtId="0" fontId="31" fillId="0" borderId="71" xfId="0" applyFont="1" applyBorder="1" applyAlignment="1">
      <alignment horizontal="center"/>
    </xf>
    <xf numFmtId="0" fontId="55" fillId="33" borderId="123" xfId="0" applyFont="1" applyFill="1" applyBorder="1" applyAlignment="1">
      <alignment horizontal="center" wrapText="1"/>
    </xf>
    <xf numFmtId="0" fontId="55" fillId="33" borderId="124" xfId="0" applyFont="1" applyFill="1" applyBorder="1" applyAlignment="1">
      <alignment horizontal="center" wrapText="1"/>
    </xf>
    <xf numFmtId="0" fontId="56" fillId="33" borderId="75" xfId="0" applyFont="1" applyFill="1" applyBorder="1" applyAlignment="1">
      <alignment horizontal="center" wrapText="1"/>
    </xf>
    <xf numFmtId="0" fontId="56" fillId="33" borderId="81" xfId="0" applyFont="1" applyFill="1" applyBorder="1" applyAlignment="1">
      <alignment horizontal="center" wrapText="1"/>
    </xf>
    <xf numFmtId="0" fontId="11" fillId="0" borderId="125" xfId="0" applyFont="1" applyBorder="1" applyAlignment="1">
      <alignment horizontal="center" wrapText="1"/>
    </xf>
    <xf numFmtId="0" fontId="20" fillId="0" borderId="126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12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33" borderId="82" xfId="0" applyFont="1" applyFill="1" applyBorder="1" applyAlignment="1" applyProtection="1">
      <alignment horizontal="center" wrapText="1"/>
      <protection/>
    </xf>
    <xf numFmtId="0" fontId="11" fillId="0" borderId="95" xfId="0" applyFont="1" applyBorder="1" applyAlignment="1">
      <alignment wrapText="1"/>
    </xf>
    <xf numFmtId="0" fontId="24" fillId="33" borderId="128" xfId="0" applyFont="1" applyFill="1" applyBorder="1" applyAlignment="1" applyProtection="1">
      <alignment horizontal="center" wrapText="1"/>
      <protection/>
    </xf>
    <xf numFmtId="0" fontId="11" fillId="0" borderId="129" xfId="0" applyFont="1" applyBorder="1" applyAlignment="1">
      <alignment wrapText="1"/>
    </xf>
    <xf numFmtId="0" fontId="24" fillId="33" borderId="130" xfId="0" applyFont="1" applyFill="1" applyBorder="1" applyAlignment="1" applyProtection="1">
      <alignment horizontal="center" wrapText="1"/>
      <protection/>
    </xf>
    <xf numFmtId="0" fontId="11" fillId="0" borderId="131" xfId="0" applyFont="1" applyBorder="1" applyAlignment="1">
      <alignment horizontal="center" wrapText="1"/>
    </xf>
    <xf numFmtId="0" fontId="25" fillId="34" borderId="128" xfId="0" applyFont="1" applyFill="1" applyBorder="1" applyAlignment="1" applyProtection="1">
      <alignment horizontal="center" wrapText="1"/>
      <protection/>
    </xf>
    <xf numFmtId="0" fontId="6" fillId="34" borderId="129" xfId="0" applyFont="1" applyFill="1" applyBorder="1" applyAlignment="1">
      <alignment wrapText="1"/>
    </xf>
    <xf numFmtId="0" fontId="24" fillId="38" borderId="83" xfId="0" applyFont="1" applyFill="1" applyBorder="1" applyAlignment="1" applyProtection="1">
      <alignment horizontal="center" wrapText="1"/>
      <protection/>
    </xf>
    <xf numFmtId="0" fontId="11" fillId="38" borderId="87" xfId="0" applyFont="1" applyFill="1" applyBorder="1" applyAlignment="1">
      <alignment wrapText="1"/>
    </xf>
    <xf numFmtId="0" fontId="25" fillId="52" borderId="83" xfId="0" applyFont="1" applyFill="1" applyBorder="1" applyAlignment="1" applyProtection="1">
      <alignment horizontal="center" wrapText="1"/>
      <protection/>
    </xf>
    <xf numFmtId="0" fontId="6" fillId="52" borderId="87" xfId="0" applyFont="1" applyFill="1" applyBorder="1" applyAlignment="1">
      <alignment wrapText="1"/>
    </xf>
    <xf numFmtId="0" fontId="6" fillId="0" borderId="132" xfId="0" applyFont="1" applyBorder="1" applyAlignment="1" applyProtection="1">
      <alignment horizontal="center" wrapText="1"/>
      <protection/>
    </xf>
    <xf numFmtId="0" fontId="0" fillId="0" borderId="132" xfId="0" applyBorder="1" applyAlignment="1">
      <alignment horizontal="center" wrapText="1"/>
    </xf>
    <xf numFmtId="0" fontId="42" fillId="33" borderId="96" xfId="0" applyFont="1" applyFill="1" applyBorder="1" applyAlignment="1">
      <alignment wrapText="1"/>
    </xf>
    <xf numFmtId="0" fontId="42" fillId="33" borderId="97" xfId="0" applyFont="1" applyFill="1" applyBorder="1" applyAlignment="1">
      <alignment wrapText="1"/>
    </xf>
    <xf numFmtId="0" fontId="25" fillId="33" borderId="30" xfId="0" applyFont="1" applyFill="1" applyBorder="1" applyAlignment="1" applyProtection="1">
      <alignment horizontal="center" wrapText="1"/>
      <protection/>
    </xf>
    <xf numFmtId="0" fontId="6" fillId="0" borderId="35" xfId="0" applyFont="1" applyBorder="1" applyAlignment="1">
      <alignment wrapText="1"/>
    </xf>
    <xf numFmtId="0" fontId="25" fillId="33" borderId="31" xfId="0" applyFont="1" applyFill="1" applyBorder="1" applyAlignment="1" applyProtection="1">
      <alignment horizontal="center" wrapText="1"/>
      <protection/>
    </xf>
    <xf numFmtId="0" fontId="6" fillId="0" borderId="0" xfId="0" applyFont="1" applyBorder="1" applyAlignment="1">
      <alignment wrapText="1"/>
    </xf>
    <xf numFmtId="0" fontId="61" fillId="33" borderId="31" xfId="0" applyFont="1" applyFill="1" applyBorder="1" applyAlignment="1" applyProtection="1">
      <alignment horizontal="center" wrapText="1"/>
      <protection/>
    </xf>
    <xf numFmtId="0" fontId="6" fillId="33" borderId="32" xfId="0" applyFont="1" applyFill="1" applyBorder="1" applyAlignment="1" applyProtection="1">
      <alignment wrapText="1"/>
      <protection/>
    </xf>
    <xf numFmtId="0" fontId="0" fillId="0" borderId="36" xfId="0" applyBorder="1" applyAlignment="1">
      <alignment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955"/>
          <c:w val="0.89025"/>
          <c:h val="0.459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'[1]unit aéro'!$Q$5</c:f>
              <c:strCache>
                <c:ptCount val="1"/>
                <c:pt idx="0">
                  <c:v>40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'[1]unit aéro'!$AG$5:$AL$5</c:f>
              <c:numCache>
                <c:ptCount val="6"/>
                <c:pt idx="0">
                  <c:v>0</c:v>
                </c:pt>
                <c:pt idx="1">
                  <c:v>0.8748906386701663</c:v>
                </c:pt>
                <c:pt idx="2">
                  <c:v>0.8748906386701663</c:v>
                </c:pt>
                <c:pt idx="3">
                  <c:v>399.8976</c:v>
                </c:pt>
                <c:pt idx="4">
                  <c:v>399.8976</c:v>
                </c:pt>
                <c:pt idx="5">
                  <c:v>400.7724906386702</c:v>
                </c:pt>
              </c:numCache>
            </c:numRef>
          </c:xVal>
          <c:yVal>
            <c:numRef>
              <c:f>'[1]unit aéro'!$Z$5:$AE$5</c:f>
              <c:numCache>
                <c:ptCount val="6"/>
                <c:pt idx="0">
                  <c:v>4363</c:v>
                </c:pt>
                <c:pt idx="1">
                  <c:v>4363.269097760418</c:v>
                </c:pt>
                <c:pt idx="2">
                  <c:v>4363.269097760418</c:v>
                </c:pt>
                <c:pt idx="3">
                  <c:v>4486</c:v>
                </c:pt>
                <c:pt idx="4">
                  <c:v>4363</c:v>
                </c:pt>
                <c:pt idx="5">
                  <c:v>4363.269097760418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'[1]unit aéro'!$Q$5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'[1]unit aéro'!$AG$5:$AL$5</c:f>
              <c:numCache>
                <c:ptCount val="6"/>
                <c:pt idx="0">
                  <c:v>0</c:v>
                </c:pt>
                <c:pt idx="1">
                  <c:v>0.8748906386701663</c:v>
                </c:pt>
                <c:pt idx="2">
                  <c:v>0.8748906386701663</c:v>
                </c:pt>
                <c:pt idx="3">
                  <c:v>399.8976</c:v>
                </c:pt>
                <c:pt idx="4">
                  <c:v>399.8976</c:v>
                </c:pt>
                <c:pt idx="5">
                  <c:v>400.7724906386702</c:v>
                </c:pt>
              </c:numCache>
            </c:numRef>
          </c:xVal>
          <c:yVal>
            <c:numRef>
              <c:f>'[1]unit aéro'!$AN$5:$AS$5</c:f>
              <c:numCache>
                <c:ptCount val="6"/>
                <c:pt idx="0">
                  <c:v>4485.975</c:v>
                </c:pt>
                <c:pt idx="1">
                  <c:v>4486</c:v>
                </c:pt>
                <c:pt idx="2">
                  <c:v>4363.244097760418</c:v>
                </c:pt>
                <c:pt idx="3">
                  <c:v>4485.975</c:v>
                </c:pt>
                <c:pt idx="4">
                  <c:v>4485.975</c:v>
                </c:pt>
                <c:pt idx="5">
                  <c:v>4486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'[1]unit aéro'!$Q$6</c:f>
              <c:strCache>
                <c:ptCount val="1"/>
                <c:pt idx="0">
                  <c:v>100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'[1]unit aéro'!$AG$6:$AL$6</c:f>
              <c:numCache>
                <c:ptCount val="6"/>
                <c:pt idx="0">
                  <c:v>0</c:v>
                </c:pt>
                <c:pt idx="1">
                  <c:v>2.1872265966754156</c:v>
                </c:pt>
                <c:pt idx="2">
                  <c:v>2.1872265966754156</c:v>
                </c:pt>
                <c:pt idx="3">
                  <c:v>999.744</c:v>
                </c:pt>
                <c:pt idx="4">
                  <c:v>999.744</c:v>
                </c:pt>
                <c:pt idx="5">
                  <c:v>1001.9312265966754</c:v>
                </c:pt>
              </c:numCache>
            </c:numRef>
          </c:xVal>
          <c:yVal>
            <c:numRef>
              <c:f>'[1]unit aéro'!$Z$6:$AE$6</c:f>
              <c:numCache>
                <c:ptCount val="6"/>
                <c:pt idx="0">
                  <c:v>4363</c:v>
                </c:pt>
                <c:pt idx="1">
                  <c:v>4363.269097760418</c:v>
                </c:pt>
                <c:pt idx="2">
                  <c:v>4363.269097760418</c:v>
                </c:pt>
                <c:pt idx="3">
                  <c:v>4486</c:v>
                </c:pt>
                <c:pt idx="4">
                  <c:v>4363</c:v>
                </c:pt>
                <c:pt idx="5">
                  <c:v>4363.269097760418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'[1]unit aéro'!$Q$7</c:f>
              <c:strCache>
                <c:ptCount val="1"/>
                <c:pt idx="0">
                  <c:v>1000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'[1]unit aéro'!$AG$7:$AL$7</c:f>
              <c:numCache>
                <c:ptCount val="6"/>
                <c:pt idx="0">
                  <c:v>0</c:v>
                </c:pt>
                <c:pt idx="1">
                  <c:v>21.872265966754153</c:v>
                </c:pt>
                <c:pt idx="2">
                  <c:v>21.872265966754153</c:v>
                </c:pt>
                <c:pt idx="3">
                  <c:v>9997.44</c:v>
                </c:pt>
                <c:pt idx="4">
                  <c:v>9997.44</c:v>
                </c:pt>
                <c:pt idx="5">
                  <c:v>10019.312265966755</c:v>
                </c:pt>
              </c:numCache>
            </c:numRef>
          </c:xVal>
          <c:yVal>
            <c:numRef>
              <c:f>'[1]unit aéro'!$Z$7:$AE$7</c:f>
              <c:numCache>
                <c:ptCount val="6"/>
                <c:pt idx="0">
                  <c:v>4363</c:v>
                </c:pt>
                <c:pt idx="1">
                  <c:v>4363.269097760418</c:v>
                </c:pt>
                <c:pt idx="2">
                  <c:v>4363.269097760418</c:v>
                </c:pt>
                <c:pt idx="3">
                  <c:v>4486</c:v>
                </c:pt>
                <c:pt idx="4">
                  <c:v>4363</c:v>
                </c:pt>
                <c:pt idx="5">
                  <c:v>4363.269097760418</c:v>
                </c:pt>
              </c:numCache>
            </c:numRef>
          </c:yVal>
          <c:smooth val="0"/>
        </c:ser>
        <c:axId val="65464228"/>
        <c:axId val="52307141"/>
      </c:scatterChart>
      <c:valAx>
        <c:axId val="654642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Durée Rampe (ms/1000)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07141"/>
        <c:crosses val="autoZero"/>
        <c:crossBetween val="midCat"/>
        <c:dispUnits/>
        <c:majorUnit val="500"/>
        <c:minorUnit val="250"/>
      </c:valAx>
      <c:valAx>
        <c:axId val="52307141"/>
        <c:scaling>
          <c:orientation val="minMax"/>
          <c:max val="4490"/>
          <c:min val="43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Femission 
(MHz)</a:t>
                </a:r>
              </a:p>
            </c:rich>
          </c:tx>
          <c:layout>
            <c:manualLayout>
              <c:xMode val="factor"/>
              <c:yMode val="factor"/>
              <c:x val="0.01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64228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125"/>
          <c:y val="0.55575"/>
          <c:w val="0.066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-bordeaux1.fr/" TargetMode="External" /><Relationship Id="rId3" Type="http://schemas.openxmlformats.org/officeDocument/2006/relationships/hyperlink" Target="http://www.u-bordeaux1.fr/" TargetMode="External" /><Relationship Id="rId4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25</xdr:row>
      <xdr:rowOff>114300</xdr:rowOff>
    </xdr:from>
    <xdr:to>
      <xdr:col>1</xdr:col>
      <xdr:colOff>1466850</xdr:colOff>
      <xdr:row>34</xdr:row>
      <xdr:rowOff>57150</xdr:rowOff>
    </xdr:to>
    <xdr:pic>
      <xdr:nvPicPr>
        <xdr:cNvPr id="1" name="Picture 2" descr="logo_univ_Bx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62550"/>
          <a:ext cx="14668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</xdr:row>
      <xdr:rowOff>342900</xdr:rowOff>
    </xdr:from>
    <xdr:to>
      <xdr:col>7</xdr:col>
      <xdr:colOff>1143000</xdr:colOff>
      <xdr:row>7</xdr:row>
      <xdr:rowOff>95250</xdr:rowOff>
    </xdr:to>
    <xdr:pic>
      <xdr:nvPicPr>
        <xdr:cNvPr id="2" name="Image 3" descr="LOGO_CR-IMA_120x131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19875" y="695325"/>
          <a:ext cx="11430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21</xdr:row>
      <xdr:rowOff>57150</xdr:rowOff>
    </xdr:from>
    <xdr:to>
      <xdr:col>3</xdr:col>
      <xdr:colOff>228600</xdr:colOff>
      <xdr:row>32</xdr:row>
      <xdr:rowOff>123825</xdr:rowOff>
    </xdr:to>
    <xdr:sp>
      <xdr:nvSpPr>
        <xdr:cNvPr id="3" name="Connecteur droit avec flèche 5"/>
        <xdr:cNvSpPr>
          <a:spLocks/>
        </xdr:cNvSpPr>
      </xdr:nvSpPr>
      <xdr:spPr>
        <a:xfrm rot="5400000">
          <a:off x="2162175" y="4429125"/>
          <a:ext cx="257175" cy="2047875"/>
        </a:xfrm>
        <a:prstGeom prst="straightConnector1">
          <a:avLst/>
        </a:prstGeom>
        <a:noFill/>
        <a:ln w="31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21</xdr:row>
      <xdr:rowOff>76200</xdr:rowOff>
    </xdr:from>
    <xdr:to>
      <xdr:col>3</xdr:col>
      <xdr:colOff>219075</xdr:colOff>
      <xdr:row>26</xdr:row>
      <xdr:rowOff>38100</xdr:rowOff>
    </xdr:to>
    <xdr:sp>
      <xdr:nvSpPr>
        <xdr:cNvPr id="4" name="Connecteur droit avec flèche 6"/>
        <xdr:cNvSpPr>
          <a:spLocks/>
        </xdr:cNvSpPr>
      </xdr:nvSpPr>
      <xdr:spPr>
        <a:xfrm rot="5400000">
          <a:off x="2314575" y="4448175"/>
          <a:ext cx="95250" cy="800100"/>
        </a:xfrm>
        <a:prstGeom prst="straightConnector1">
          <a:avLst/>
        </a:prstGeom>
        <a:noFill/>
        <a:ln w="31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19050</xdr:colOff>
      <xdr:row>0</xdr:row>
      <xdr:rowOff>57150</xdr:rowOff>
    </xdr:from>
    <xdr:to>
      <xdr:col>20</xdr:col>
      <xdr:colOff>323850</xdr:colOff>
      <xdr:row>1</xdr:row>
      <xdr:rowOff>228600</xdr:rowOff>
    </xdr:to>
    <xdr:pic>
      <xdr:nvPicPr>
        <xdr:cNvPr id="1" name="Image 1" descr="\frac{T_\mathrm{total}}{T_{0}}={1+\frac{\gamma -1}{2}M_a^2}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57150"/>
          <a:ext cx="15335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79</xdr:col>
      <xdr:colOff>257175</xdr:colOff>
      <xdr:row>1</xdr:row>
      <xdr:rowOff>419100</xdr:rowOff>
    </xdr:from>
    <xdr:to>
      <xdr:col>81</xdr:col>
      <xdr:colOff>219075</xdr:colOff>
      <xdr:row>4</xdr:row>
      <xdr:rowOff>123825</xdr:rowOff>
    </xdr:to>
    <xdr:sp>
      <xdr:nvSpPr>
        <xdr:cNvPr id="1" name="Ellipse 1"/>
        <xdr:cNvSpPr>
          <a:spLocks/>
        </xdr:cNvSpPr>
      </xdr:nvSpPr>
      <xdr:spPr>
        <a:xfrm>
          <a:off x="30870525" y="581025"/>
          <a:ext cx="876300" cy="5238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200025</xdr:colOff>
      <xdr:row>3</xdr:row>
      <xdr:rowOff>28575</xdr:rowOff>
    </xdr:from>
    <xdr:to>
      <xdr:col>79</xdr:col>
      <xdr:colOff>257175</xdr:colOff>
      <xdr:row>7</xdr:row>
      <xdr:rowOff>104775</xdr:rowOff>
    </xdr:to>
    <xdr:sp>
      <xdr:nvSpPr>
        <xdr:cNvPr id="2" name="Connecteur droit avec flèche 2"/>
        <xdr:cNvSpPr>
          <a:spLocks/>
        </xdr:cNvSpPr>
      </xdr:nvSpPr>
      <xdr:spPr>
        <a:xfrm rot="10800000" flipV="1">
          <a:off x="28870275" y="847725"/>
          <a:ext cx="2000250" cy="8667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0.58825</cdr:y>
    </cdr:from>
    <cdr:to>
      <cdr:x>0.86675</cdr:x>
      <cdr:y>0.688</cdr:y>
    </cdr:to>
    <cdr:sp>
      <cdr:nvSpPr>
        <cdr:cNvPr id="1" name="Text Box 1"/>
        <cdr:cNvSpPr txBox="1">
          <a:spLocks noChangeArrowheads="1"/>
        </cdr:cNvSpPr>
      </cdr:nvSpPr>
      <cdr:spPr>
        <a:xfrm>
          <a:off x="990600" y="3362325"/>
          <a:ext cx="7010400" cy="571500"/>
        </a:xfrm>
        <a:prstGeom prst="rect">
          <a:avLst/>
        </a:prstGeom>
        <a:solidFill>
          <a:srgbClr val="CCFFCC"/>
        </a:solidFill>
        <a:ln w="9525" cmpd="sng">
          <a:noFill/>
        </a:ln>
      </cdr:spPr>
      <cdr:txBody>
        <a:bodyPr vertOverflow="clip" wrap="square" lIns="45720" tIns="27432" rIns="0" bIns="0"/>
        <a:p>
          <a:pPr algn="l">
            <a:defRPr/>
          </a:pPr>
          <a:r>
            <a:rPr lang="en-US" cap="none" sz="1400" b="1" i="1" u="none" baseline="0">
              <a:solidFill>
                <a:srgbClr val="3366FF"/>
              </a:solidFill>
            </a:rPr>
            <a:t>Fréquence RADIO ALTIMETRE EMISSION/RECEPTION : DUREE Tm Modulation de Fréquence, "pente asservie"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49</xdr:row>
      <xdr:rowOff>142875</xdr:rowOff>
    </xdr:from>
    <xdr:to>
      <xdr:col>24</xdr:col>
      <xdr:colOff>0</xdr:colOff>
      <xdr:row>73</xdr:row>
      <xdr:rowOff>19050</xdr:rowOff>
    </xdr:to>
    <xdr:pic>
      <xdr:nvPicPr>
        <xdr:cNvPr id="1" name="Picture 1" descr="MACH_vites_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363200"/>
          <a:ext cx="122682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57150</xdr:colOff>
      <xdr:row>2</xdr:row>
      <xdr:rowOff>123825</xdr:rowOff>
    </xdr:from>
    <xdr:to>
      <xdr:col>48</xdr:col>
      <xdr:colOff>714375</xdr:colOff>
      <xdr:row>32</xdr:row>
      <xdr:rowOff>57150</xdr:rowOff>
    </xdr:to>
    <xdr:graphicFrame>
      <xdr:nvGraphicFramePr>
        <xdr:cNvPr id="2" name="Chart 6"/>
        <xdr:cNvGraphicFramePr/>
      </xdr:nvGraphicFramePr>
      <xdr:xfrm>
        <a:off x="12401550" y="790575"/>
        <a:ext cx="9239250" cy="5724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_xls\AERO\conversion_BASES_AERONAUTIQUE_ima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v déc -&gt; base"/>
      <sheetName val="Iso"/>
      <sheetName val="ISA"/>
      <sheetName val="ISA_NORM"/>
      <sheetName val="GRAPH temp"/>
      <sheetName val="Atmosp"/>
      <sheetName val="unit aéro"/>
      <sheetName val="Loc0,4DDM"/>
      <sheetName val="Glide0,8DDM"/>
      <sheetName val="VARIO"/>
      <sheetName val="exoCORR"/>
      <sheetName val="exoILS Loc"/>
      <sheetName val="EXO CODAGE"/>
      <sheetName val="CAN8#"/>
      <sheetName val="CAN12#"/>
      <sheetName val="canaux ILS"/>
      <sheetName val="VOR angle ARINC429"/>
      <sheetName val="T Totale"/>
    </sheetNames>
    <sheetDataSet>
      <sheetData sheetId="6">
        <row r="5">
          <cell r="Q5">
            <v>40</v>
          </cell>
          <cell r="Z5">
            <v>4363</v>
          </cell>
          <cell r="AA5">
            <v>4363.269097760418</v>
          </cell>
          <cell r="AB5">
            <v>4363.269097760418</v>
          </cell>
          <cell r="AC5">
            <v>4486</v>
          </cell>
          <cell r="AD5">
            <v>4363</v>
          </cell>
          <cell r="AE5">
            <v>4363.269097760418</v>
          </cell>
          <cell r="AG5">
            <v>0</v>
          </cell>
          <cell r="AH5">
            <v>0.8748906386701663</v>
          </cell>
          <cell r="AI5">
            <v>0.8748906386701663</v>
          </cell>
          <cell r="AJ5">
            <v>399.8976</v>
          </cell>
          <cell r="AK5">
            <v>399.8976</v>
          </cell>
          <cell r="AL5">
            <v>400.7724906386702</v>
          </cell>
          <cell r="AN5">
            <v>4485.975</v>
          </cell>
          <cell r="AO5">
            <v>4486</v>
          </cell>
          <cell r="AP5">
            <v>4363.244097760418</v>
          </cell>
          <cell r="AQ5">
            <v>4485.975</v>
          </cell>
          <cell r="AR5">
            <v>4485.975</v>
          </cell>
          <cell r="AS5">
            <v>4486</v>
          </cell>
        </row>
        <row r="6">
          <cell r="Q6">
            <v>100</v>
          </cell>
          <cell r="Z6">
            <v>4363</v>
          </cell>
          <cell r="AA6">
            <v>4363.269097760418</v>
          </cell>
          <cell r="AB6">
            <v>4363.269097760418</v>
          </cell>
          <cell r="AC6">
            <v>4486</v>
          </cell>
          <cell r="AD6">
            <v>4363</v>
          </cell>
          <cell r="AE6">
            <v>4363.269097760418</v>
          </cell>
          <cell r="AG6">
            <v>0</v>
          </cell>
          <cell r="AH6">
            <v>2.1872265966754156</v>
          </cell>
          <cell r="AI6">
            <v>2.1872265966754156</v>
          </cell>
          <cell r="AJ6">
            <v>999.744</v>
          </cell>
          <cell r="AK6">
            <v>999.744</v>
          </cell>
          <cell r="AL6">
            <v>1001.9312265966754</v>
          </cell>
        </row>
        <row r="7">
          <cell r="Q7">
            <v>1000</v>
          </cell>
          <cell r="Z7">
            <v>4363</v>
          </cell>
          <cell r="AA7">
            <v>4363.269097760418</v>
          </cell>
          <cell r="AB7">
            <v>4363.269097760418</v>
          </cell>
          <cell r="AC7">
            <v>4486</v>
          </cell>
          <cell r="AD7">
            <v>4363</v>
          </cell>
          <cell r="AE7">
            <v>4363.269097760418</v>
          </cell>
          <cell r="AG7">
            <v>0</v>
          </cell>
          <cell r="AH7">
            <v>21.872265966754153</v>
          </cell>
          <cell r="AI7">
            <v>21.872265966754153</v>
          </cell>
          <cell r="AJ7">
            <v>9997.44</v>
          </cell>
          <cell r="AK7">
            <v>9997.44</v>
          </cell>
          <cell r="AL7">
            <v>10019.312265966755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gitaldutch.com/atmoscalc/" TargetMode="External" /><Relationship Id="rId2" Type="http://schemas.openxmlformats.org/officeDocument/2006/relationships/hyperlink" Target="http://www.univ-lemans.fr/enseignements/physique/02.old/divers/altimetre.html" TargetMode="External" /><Relationship Id="rId3" Type="http://schemas.openxmlformats.org/officeDocument/2006/relationships/hyperlink" Target="Avionique%20iMA%20Univ%20Bx1\Avionique_iMA_561.exe" TargetMode="External" /><Relationship Id="rId4" Type="http://schemas.openxmlformats.org/officeDocument/2006/relationships/hyperlink" Target="TD_0910_Avionique_LICENCE_024.pdf" TargetMode="External" /><Relationship Id="rId5" Type="http://schemas.openxmlformats.org/officeDocument/2006/relationships/hyperlink" Target="atmoscalc.exe" TargetMode="External" /><Relationship Id="rId6" Type="http://schemas.openxmlformats.org/officeDocument/2006/relationships/hyperlink" Target="http://www.luizmonteiro.com/" TargetMode="External" /><Relationship Id="rId7" Type="http://schemas.openxmlformats.org/officeDocument/2006/relationships/hyperlink" Target="http://www.maintenance-aeronautique.com/" TargetMode="External" /><Relationship Id="rId8" Type="http://schemas.openxmlformats.org/officeDocument/2006/relationships/hyperlink" Target="http://www.u-bordeaux1.fr/" TargetMode="External" /><Relationship Id="rId9" Type="http://schemas.openxmlformats.org/officeDocument/2006/relationships/hyperlink" Target="Avionique_iMA_Univ_Bx1\Avionique_iMA_561.exe" TargetMode="External" /><Relationship Id="rId10" Type="http://schemas.openxmlformats.org/officeDocument/2006/relationships/hyperlink" Target="TD_1011_Avionique_LPRO_002.pdf" TargetMode="External" /><Relationship Id="rId11" Type="http://schemas.openxmlformats.org/officeDocument/2006/relationships/comments" Target="../comments1.xm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ncyclopedie.snyke.com/articles/atmosphere.html" TargetMode="External" /><Relationship Id="rId2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4"/>
  <sheetViews>
    <sheetView tabSelected="1" zoomScalePageLayoutView="0" workbookViewId="0" topLeftCell="A2">
      <selection activeCell="F19" activeCellId="1" sqref="F18:G18 F19:H19"/>
    </sheetView>
  </sheetViews>
  <sheetFormatPr defaultColWidth="11.421875" defaultRowHeight="12.75"/>
  <cols>
    <col min="1" max="1" width="3.140625" style="0" customWidth="1"/>
    <col min="2" max="2" width="24.7109375" style="0" customWidth="1"/>
    <col min="3" max="3" width="5.00390625" style="0" customWidth="1"/>
    <col min="4" max="4" width="10.57421875" style="0" customWidth="1"/>
    <col min="5" max="5" width="6.57421875" style="0" customWidth="1"/>
    <col min="6" max="6" width="24.28125" style="0" customWidth="1"/>
    <col min="7" max="7" width="25.00390625" style="0" customWidth="1"/>
    <col min="8" max="8" width="17.57421875" style="0" customWidth="1"/>
    <col min="9" max="9" width="11.8515625" style="0" customWidth="1"/>
    <col min="10" max="10" width="7.140625" style="0" customWidth="1"/>
  </cols>
  <sheetData>
    <row r="1" spans="2:7" ht="27.75">
      <c r="B1" s="107" t="s">
        <v>149</v>
      </c>
      <c r="C1" s="34"/>
      <c r="D1" s="34"/>
      <c r="E1" s="34"/>
      <c r="F1" s="34"/>
      <c r="G1" s="34"/>
    </row>
    <row r="2" ht="27.75">
      <c r="B2" s="108" t="s">
        <v>618</v>
      </c>
    </row>
    <row r="3" spans="2:7" ht="23.25">
      <c r="B3" s="109" t="s">
        <v>589</v>
      </c>
      <c r="D3" s="749" t="s">
        <v>606</v>
      </c>
      <c r="E3" s="749"/>
      <c r="F3" s="750"/>
      <c r="G3" s="110" t="s">
        <v>617</v>
      </c>
    </row>
    <row r="4" spans="4:7" ht="12.75">
      <c r="D4" s="749" t="s">
        <v>605</v>
      </c>
      <c r="E4" s="749"/>
      <c r="G4" s="721" t="s">
        <v>597</v>
      </c>
    </row>
    <row r="5" spans="2:7" ht="18">
      <c r="B5" s="722" t="s">
        <v>590</v>
      </c>
      <c r="G5" s="721" t="s">
        <v>598</v>
      </c>
    </row>
    <row r="6" spans="1:6" s="723" customFormat="1" ht="20.25">
      <c r="A6" s="747">
        <v>1</v>
      </c>
      <c r="B6" s="806" t="s">
        <v>594</v>
      </c>
      <c r="C6" s="806"/>
      <c r="D6" s="806"/>
      <c r="E6" s="806"/>
      <c r="F6" s="806"/>
    </row>
    <row r="7" spans="1:2" ht="15">
      <c r="A7" s="747">
        <v>2</v>
      </c>
      <c r="B7" s="53" t="s">
        <v>599</v>
      </c>
    </row>
    <row r="8" spans="1:2" ht="15">
      <c r="A8" s="747"/>
      <c r="B8" s="53" t="s">
        <v>595</v>
      </c>
    </row>
    <row r="9" spans="1:2" ht="15">
      <c r="A9" s="747"/>
      <c r="B9" s="748" t="s">
        <v>600</v>
      </c>
    </row>
    <row r="10" spans="1:2" ht="15.75" thickBot="1">
      <c r="A10" s="747"/>
      <c r="B10" s="721"/>
    </row>
    <row r="11" spans="1:8" ht="15.75" thickTop="1">
      <c r="A11" s="747">
        <v>3</v>
      </c>
      <c r="B11" s="724" t="s">
        <v>604</v>
      </c>
      <c r="C11" s="725"/>
      <c r="D11" s="725"/>
      <c r="E11" s="725"/>
      <c r="F11" s="725"/>
      <c r="G11" s="725"/>
      <c r="H11" s="726"/>
    </row>
    <row r="12" spans="1:8" ht="8.25" customHeight="1">
      <c r="A12" s="747"/>
      <c r="B12" s="727"/>
      <c r="C12" s="728"/>
      <c r="D12" s="728"/>
      <c r="E12" s="728"/>
      <c r="F12" s="728"/>
      <c r="G12" s="728"/>
      <c r="H12" s="729"/>
    </row>
    <row r="13" spans="1:8" ht="15">
      <c r="A13" s="747"/>
      <c r="B13" s="730"/>
      <c r="C13" s="805" t="s">
        <v>150</v>
      </c>
      <c r="D13" s="806"/>
      <c r="E13" s="806"/>
      <c r="F13" s="806"/>
      <c r="G13" s="806"/>
      <c r="H13" s="807"/>
    </row>
    <row r="14" spans="1:8" ht="15">
      <c r="A14" s="747"/>
      <c r="B14" s="730"/>
      <c r="C14" s="805" t="s">
        <v>151</v>
      </c>
      <c r="D14" s="806"/>
      <c r="E14" s="806"/>
      <c r="F14" s="806"/>
      <c r="G14" s="806"/>
      <c r="H14" s="807"/>
    </row>
    <row r="15" spans="1:8" ht="6.75" customHeight="1">
      <c r="A15" s="747"/>
      <c r="B15" s="730"/>
      <c r="C15" s="728"/>
      <c r="D15" s="728"/>
      <c r="E15" s="728"/>
      <c r="F15" s="728"/>
      <c r="G15" s="728"/>
      <c r="H15" s="729"/>
    </row>
    <row r="16" spans="1:8" ht="15">
      <c r="A16" s="747"/>
      <c r="B16" s="730"/>
      <c r="C16" s="731" t="s">
        <v>592</v>
      </c>
      <c r="D16" s="728"/>
      <c r="E16" s="728"/>
      <c r="F16" s="751" t="s">
        <v>593</v>
      </c>
      <c r="G16" s="728"/>
      <c r="H16" s="729"/>
    </row>
    <row r="17" spans="1:8" ht="15">
      <c r="A17" s="747"/>
      <c r="B17" s="730"/>
      <c r="C17" s="731" t="s">
        <v>588</v>
      </c>
      <c r="D17" s="728"/>
      <c r="E17" s="728"/>
      <c r="F17" s="728"/>
      <c r="G17" s="728"/>
      <c r="H17" s="729"/>
    </row>
    <row r="18" spans="1:8" ht="15">
      <c r="A18" s="747"/>
      <c r="B18" s="730"/>
      <c r="C18" s="728"/>
      <c r="D18" s="731" t="s">
        <v>587</v>
      </c>
      <c r="E18" s="728"/>
      <c r="F18" s="805" t="s">
        <v>311</v>
      </c>
      <c r="G18" s="808"/>
      <c r="H18" s="729"/>
    </row>
    <row r="19" spans="1:8" ht="15.75" thickBot="1">
      <c r="A19" s="747"/>
      <c r="B19" s="732"/>
      <c r="C19" s="733"/>
      <c r="D19" s="734" t="s">
        <v>587</v>
      </c>
      <c r="E19" s="733"/>
      <c r="F19" s="809" t="s">
        <v>312</v>
      </c>
      <c r="G19" s="810"/>
      <c r="H19" s="811"/>
    </row>
    <row r="20" spans="1:6" ht="16.5" thickBot="1" thickTop="1">
      <c r="A20" s="747"/>
      <c r="D20" s="734" t="s">
        <v>603</v>
      </c>
      <c r="F20" s="749" t="s">
        <v>602</v>
      </c>
    </row>
    <row r="21" spans="1:7" ht="15.75" thickTop="1">
      <c r="A21" s="747">
        <v>4</v>
      </c>
      <c r="B21" s="806" t="s">
        <v>596</v>
      </c>
      <c r="C21" s="808"/>
      <c r="D21" s="808"/>
      <c r="E21" s="808"/>
      <c r="F21" s="808"/>
      <c r="G21" s="808"/>
    </row>
    <row r="22" spans="1:2" ht="7.5" customHeight="1">
      <c r="A22" s="747"/>
      <c r="B22" s="111"/>
    </row>
    <row r="23" spans="1:2" ht="15.75">
      <c r="A23" s="747">
        <v>5</v>
      </c>
      <c r="B23" s="35" t="s">
        <v>591</v>
      </c>
    </row>
    <row r="24" spans="1:2" ht="15">
      <c r="A24" s="747">
        <v>6</v>
      </c>
      <c r="B24" s="53" t="s">
        <v>616</v>
      </c>
    </row>
    <row r="25" spans="1:2" ht="15">
      <c r="A25" s="747">
        <v>7</v>
      </c>
      <c r="B25" s="53" t="s">
        <v>601</v>
      </c>
    </row>
    <row r="26" ht="12.75" customHeight="1" thickBot="1">
      <c r="B26" s="53"/>
    </row>
    <row r="27" spans="2:10" ht="15.75">
      <c r="B27" s="53"/>
      <c r="E27" s="735" t="s">
        <v>313</v>
      </c>
      <c r="F27" s="736"/>
      <c r="G27" s="736"/>
      <c r="H27" s="736"/>
      <c r="I27" s="736"/>
      <c r="J27" s="737"/>
    </row>
    <row r="28" spans="5:10" ht="15.75">
      <c r="E28" s="738"/>
      <c r="F28" s="739" t="s">
        <v>314</v>
      </c>
      <c r="G28" s="740"/>
      <c r="H28" s="740"/>
      <c r="I28" s="740"/>
      <c r="J28" s="741"/>
    </row>
    <row r="29" spans="5:10" ht="15">
      <c r="E29" s="738"/>
      <c r="F29" s="742" t="s">
        <v>315</v>
      </c>
      <c r="G29" s="740"/>
      <c r="H29" s="740"/>
      <c r="I29" s="740"/>
      <c r="J29" s="741"/>
    </row>
    <row r="30" spans="5:10" ht="15">
      <c r="E30" s="738"/>
      <c r="F30" s="742" t="s">
        <v>316</v>
      </c>
      <c r="G30" s="740"/>
      <c r="H30" s="740"/>
      <c r="I30" s="740"/>
      <c r="J30" s="741"/>
    </row>
    <row r="31" spans="5:10" ht="12.75">
      <c r="E31" s="738"/>
      <c r="F31" s="740"/>
      <c r="G31" s="740"/>
      <c r="H31" s="740"/>
      <c r="I31" s="740"/>
      <c r="J31" s="741"/>
    </row>
    <row r="32" spans="5:10" ht="15.75">
      <c r="E32" s="738"/>
      <c r="F32" s="739" t="s">
        <v>317</v>
      </c>
      <c r="G32" s="740"/>
      <c r="H32" s="740"/>
      <c r="I32" s="740"/>
      <c r="J32" s="741"/>
    </row>
    <row r="33" spans="5:10" ht="15">
      <c r="E33" s="738"/>
      <c r="F33" s="742" t="s">
        <v>318</v>
      </c>
      <c r="G33" s="740"/>
      <c r="H33" s="740"/>
      <c r="I33" s="740"/>
      <c r="J33" s="741"/>
    </row>
    <row r="34" spans="5:10" ht="15.75" thickBot="1">
      <c r="E34" s="743"/>
      <c r="F34" s="744" t="s">
        <v>319</v>
      </c>
      <c r="G34" s="745"/>
      <c r="H34" s="745"/>
      <c r="I34" s="745"/>
      <c r="J34" s="746"/>
    </row>
  </sheetData>
  <sheetProtection/>
  <mergeCells count="6">
    <mergeCell ref="C13:H13"/>
    <mergeCell ref="C14:H14"/>
    <mergeCell ref="F18:G18"/>
    <mergeCell ref="F19:H19"/>
    <mergeCell ref="B21:G21"/>
    <mergeCell ref="B6:F6"/>
  </mergeCells>
  <hyperlinks>
    <hyperlink ref="F18" r:id="rId1" display="http://www.digitaldutch.com/atmoscalc/"/>
    <hyperlink ref="F19" r:id="rId2" display="http://www.univ-lemans.fr/enseignements/physique/02.old/divers/altimetre.html"/>
    <hyperlink ref="C14" r:id="rId3" display="De même, utilisez l'outil développé avec LABView pour valider les exercices de Travaux Dirigés d'Avionique"/>
    <hyperlink ref="B21" location="Altimètre!A1" display="En analysant les formules d'onglet &quot;Altimètre&quot; de la feuille de calcul EXCEL, exprimez la relation z=f(tem°C, QNH)"/>
    <hyperlink ref="C13" location="Altimètre!A1" display="Utilisez la feuille de calcul &quot;Altimètre&quot; pour valider les exercices de Travaux Dirigés d'Avionique"/>
    <hyperlink ref="B6" r:id="rId4" display="traiter les exercices QCM de TD avionique des pages 9 à 12"/>
    <hyperlink ref="F16" r:id="rId5" display="atmoscalc.exe"/>
    <hyperlink ref="F20" r:id="rId6" display="http://www.luizmonteiro.com/"/>
    <hyperlink ref="D4" r:id="rId7" display="http://www.maintenance-aeronautique.com/"/>
    <hyperlink ref="D3" r:id="rId8" display="http://www.u-bordeaux1.fr/ "/>
    <hyperlink ref="C14:H14" r:id="rId9" display="De même, utilisez l'outil développé avec LABView pour valider les exercices de Travaux Dirigés d'Avionique"/>
    <hyperlink ref="C13:H13" location="Altimètre!A1" display="Utilisez la feuille de calcul &quot;Altimètre&quot; pour valider les exercices de Travaux Dirigés d'Avionique"/>
    <hyperlink ref="B6:F6" r:id="rId10" display="traiter les exercices QCM des TD avionique pages 9 à 12"/>
  </hyperlinks>
  <printOptions/>
  <pageMargins left="0.787401575" right="0.787401575" top="0.984251969" bottom="0.984251969" header="0.4921259845" footer="0.4921259845"/>
  <pageSetup horizontalDpi="600" verticalDpi="600" orientation="portrait" paperSize="9" r:id="rId14"/>
  <drawing r:id="rId13"/>
  <legacy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121"/>
  <sheetViews>
    <sheetView zoomScalePageLayoutView="0" workbookViewId="0" topLeftCell="A1">
      <selection activeCell="S27" sqref="S27"/>
    </sheetView>
  </sheetViews>
  <sheetFormatPr defaultColWidth="11.421875" defaultRowHeight="12.75"/>
  <cols>
    <col min="1" max="1" width="6.28125" style="569" customWidth="1"/>
    <col min="2" max="2" width="9.421875" style="569" customWidth="1"/>
    <col min="3" max="3" width="1.7109375" style="569" customWidth="1"/>
    <col min="4" max="4" width="11.7109375" style="569" customWidth="1"/>
    <col min="5" max="5" width="9.421875" style="569" customWidth="1"/>
    <col min="6" max="6" width="11.57421875" style="569" customWidth="1"/>
    <col min="7" max="7" width="10.00390625" style="570" customWidth="1"/>
    <col min="8" max="8" width="12.00390625" style="569" customWidth="1"/>
    <col min="9" max="9" width="9.8515625" style="569" customWidth="1"/>
    <col min="10" max="10" width="10.7109375" style="569" customWidth="1"/>
    <col min="11" max="11" width="2.421875" style="569" customWidth="1"/>
    <col min="12" max="12" width="6.421875" style="569" customWidth="1"/>
    <col min="13" max="13" width="6.8515625" style="569" customWidth="1"/>
    <col min="14" max="14" width="4.421875" style="569" customWidth="1"/>
    <col min="15" max="15" width="7.421875" style="569" customWidth="1"/>
    <col min="16" max="16" width="8.421875" style="569" customWidth="1"/>
    <col min="17" max="17" width="8.140625" style="569" customWidth="1"/>
    <col min="18" max="18" width="7.8515625" style="569" customWidth="1"/>
    <col min="19" max="19" width="7.00390625" style="569" customWidth="1"/>
    <col min="20" max="20" width="6.7109375" style="569" customWidth="1"/>
    <col min="21" max="21" width="5.8515625" style="569" customWidth="1"/>
    <col min="22" max="22" width="7.140625" style="569" customWidth="1"/>
    <col min="23" max="23" width="5.8515625" style="569" customWidth="1"/>
    <col min="24" max="25" width="7.8515625" style="569" customWidth="1"/>
    <col min="26" max="26" width="5.140625" style="569" customWidth="1"/>
    <col min="27" max="27" width="5.57421875" style="569" customWidth="1"/>
    <col min="28" max="28" width="5.00390625" style="569" customWidth="1"/>
    <col min="29" max="31" width="4.7109375" style="569" customWidth="1"/>
    <col min="32" max="32" width="1.1484375" style="569" customWidth="1"/>
    <col min="33" max="33" width="3.57421875" style="569" customWidth="1"/>
    <col min="34" max="35" width="3.8515625" style="569" customWidth="1"/>
    <col min="36" max="36" width="6.140625" style="569" customWidth="1"/>
    <col min="37" max="37" width="6.7109375" style="569" customWidth="1"/>
    <col min="38" max="38" width="6.421875" style="569" customWidth="1"/>
    <col min="39" max="39" width="1.1484375" style="0" customWidth="1"/>
    <col min="40" max="41" width="5.421875" style="569" customWidth="1"/>
    <col min="42" max="42" width="5.140625" style="569" customWidth="1"/>
    <col min="43" max="43" width="5.28125" style="569" customWidth="1"/>
    <col min="44" max="44" width="5.00390625" style="569" customWidth="1"/>
    <col min="45" max="45" width="4.7109375" style="569" customWidth="1"/>
    <col min="46" max="46" width="4.28125" style="569" customWidth="1"/>
    <col min="47" max="16384" width="11.421875" style="569" customWidth="1"/>
  </cols>
  <sheetData>
    <row r="1" spans="1:45" ht="35.25" thickBot="1" thickTop="1">
      <c r="A1" s="568" t="s">
        <v>37</v>
      </c>
      <c r="L1" s="571" t="s">
        <v>480</v>
      </c>
      <c r="Q1" s="572" t="s">
        <v>481</v>
      </c>
      <c r="R1" s="573"/>
      <c r="S1" s="573"/>
      <c r="T1" s="573"/>
      <c r="U1" s="573"/>
      <c r="V1" s="573"/>
      <c r="W1" s="574"/>
      <c r="X1" s="575" t="s">
        <v>482</v>
      </c>
      <c r="Y1" s="574"/>
      <c r="Z1" s="576">
        <v>123</v>
      </c>
      <c r="AA1" s="577" t="s">
        <v>483</v>
      </c>
      <c r="AB1" s="578"/>
      <c r="AC1" s="578" t="s">
        <v>484</v>
      </c>
      <c r="AD1" s="579">
        <v>4363</v>
      </c>
      <c r="AE1" s="580" t="s">
        <v>483</v>
      </c>
      <c r="AF1" s="578"/>
      <c r="AG1" s="578"/>
      <c r="AH1" s="578"/>
      <c r="AI1" s="578"/>
      <c r="AJ1" s="578"/>
      <c r="AK1" s="578"/>
      <c r="AL1" s="578"/>
      <c r="AM1" s="581"/>
      <c r="AN1" s="578"/>
      <c r="AO1" s="578"/>
      <c r="AP1" s="578"/>
      <c r="AQ1" s="578"/>
      <c r="AR1" s="578"/>
      <c r="AS1" s="582"/>
    </row>
    <row r="2" spans="7:46" s="568" customFormat="1" ht="17.25" customHeight="1" thickBot="1" thickTop="1">
      <c r="G2" s="583"/>
      <c r="H2" s="584" t="s">
        <v>40</v>
      </c>
      <c r="I2" s="585"/>
      <c r="J2" s="585"/>
      <c r="L2" s="586" t="s">
        <v>485</v>
      </c>
      <c r="Q2" s="587"/>
      <c r="R2" s="588"/>
      <c r="S2" s="589" t="s">
        <v>486</v>
      </c>
      <c r="T2" s="590">
        <v>40</v>
      </c>
      <c r="U2" s="588" t="s">
        <v>5</v>
      </c>
      <c r="V2" s="588"/>
      <c r="W2" s="574"/>
      <c r="X2" s="575" t="s">
        <v>487</v>
      </c>
      <c r="Y2" s="574"/>
      <c r="Z2" s="591">
        <v>25</v>
      </c>
      <c r="AA2" s="592" t="s">
        <v>488</v>
      </c>
      <c r="AB2" s="593"/>
      <c r="AC2" s="594" t="s">
        <v>489</v>
      </c>
      <c r="AD2" s="595">
        <f>0.15*$Z$2/($Z$1*0.3048)</f>
        <v>0.10002560655527815</v>
      </c>
      <c r="AE2" s="596" t="s">
        <v>490</v>
      </c>
      <c r="AF2" s="574"/>
      <c r="AG2" s="574"/>
      <c r="AH2" s="574"/>
      <c r="AI2" s="574"/>
      <c r="AJ2" s="574"/>
      <c r="AK2" s="574"/>
      <c r="AL2" s="574"/>
      <c r="AM2" s="597"/>
      <c r="AN2" s="574"/>
      <c r="AO2" s="574"/>
      <c r="AP2" s="574"/>
      <c r="AQ2" s="574"/>
      <c r="AR2" s="574"/>
      <c r="AS2" s="598"/>
      <c r="AT2" s="599"/>
    </row>
    <row r="3" spans="1:46" s="570" customFormat="1" ht="38.25" customHeight="1" thickTop="1">
      <c r="A3" s="600" t="s">
        <v>38</v>
      </c>
      <c r="D3" s="601"/>
      <c r="F3" s="601" t="s">
        <v>491</v>
      </c>
      <c r="L3" s="844" t="s">
        <v>492</v>
      </c>
      <c r="M3" s="846" t="s">
        <v>493</v>
      </c>
      <c r="N3" s="848" t="s">
        <v>494</v>
      </c>
      <c r="O3" s="849" t="s">
        <v>495</v>
      </c>
      <c r="Q3" s="828" t="s">
        <v>496</v>
      </c>
      <c r="R3" s="830" t="s">
        <v>497</v>
      </c>
      <c r="S3" s="832" t="s">
        <v>498</v>
      </c>
      <c r="T3" s="834" t="s">
        <v>499</v>
      </c>
      <c r="U3" s="836" t="s">
        <v>500</v>
      </c>
      <c r="V3" s="838" t="s">
        <v>501</v>
      </c>
      <c r="W3" s="602" t="s">
        <v>502</v>
      </c>
      <c r="X3" s="603" t="s">
        <v>503</v>
      </c>
      <c r="Y3" s="603"/>
      <c r="Z3" s="604" t="s">
        <v>504</v>
      </c>
      <c r="AA3" s="605" t="s">
        <v>505</v>
      </c>
      <c r="AB3" s="605" t="s">
        <v>506</v>
      </c>
      <c r="AC3" s="605" t="s">
        <v>507</v>
      </c>
      <c r="AD3" s="605" t="s">
        <v>507</v>
      </c>
      <c r="AE3" s="605" t="s">
        <v>508</v>
      </c>
      <c r="AF3" s="606"/>
      <c r="AG3" s="605" t="s">
        <v>509</v>
      </c>
      <c r="AH3" s="605" t="s">
        <v>510</v>
      </c>
      <c r="AI3" s="605" t="s">
        <v>511</v>
      </c>
      <c r="AJ3" s="605" t="s">
        <v>512</v>
      </c>
      <c r="AK3" s="605" t="s">
        <v>513</v>
      </c>
      <c r="AL3" s="605" t="s">
        <v>514</v>
      </c>
      <c r="AM3" s="607"/>
      <c r="AN3" s="605" t="s">
        <v>515</v>
      </c>
      <c r="AO3" s="605" t="s">
        <v>516</v>
      </c>
      <c r="AP3" s="605" t="s">
        <v>517</v>
      </c>
      <c r="AQ3" s="605" t="s">
        <v>518</v>
      </c>
      <c r="AR3" s="605" t="s">
        <v>518</v>
      </c>
      <c r="AS3" s="608" t="s">
        <v>519</v>
      </c>
      <c r="AT3" s="609" t="s">
        <v>520</v>
      </c>
    </row>
    <row r="4" spans="1:46" s="610" customFormat="1" ht="19.5" customHeight="1" thickBot="1">
      <c r="A4" s="610" t="s">
        <v>0</v>
      </c>
      <c r="B4" s="610" t="s">
        <v>1</v>
      </c>
      <c r="D4" s="610" t="s">
        <v>2</v>
      </c>
      <c r="E4" s="610" t="s">
        <v>3</v>
      </c>
      <c r="F4" s="610" t="s">
        <v>4</v>
      </c>
      <c r="G4" s="610" t="s">
        <v>5</v>
      </c>
      <c r="H4" s="610" t="s">
        <v>6</v>
      </c>
      <c r="L4" s="845"/>
      <c r="M4" s="847"/>
      <c r="N4" s="847"/>
      <c r="O4" s="850"/>
      <c r="Q4" s="829"/>
      <c r="R4" s="831"/>
      <c r="S4" s="833"/>
      <c r="T4" s="835"/>
      <c r="U4" s="837"/>
      <c r="V4" s="839"/>
      <c r="W4" s="611" t="s">
        <v>521</v>
      </c>
      <c r="X4" s="592" t="s">
        <v>522</v>
      </c>
      <c r="Y4" s="592"/>
      <c r="Z4" s="612" t="s">
        <v>523</v>
      </c>
      <c r="AA4" s="613" t="s">
        <v>523</v>
      </c>
      <c r="AB4" s="613" t="s">
        <v>523</v>
      </c>
      <c r="AC4" s="613" t="s">
        <v>523</v>
      </c>
      <c r="AD4" s="613"/>
      <c r="AE4" s="613" t="s">
        <v>523</v>
      </c>
      <c r="AF4" s="592"/>
      <c r="AG4" s="613"/>
      <c r="AH4" s="613"/>
      <c r="AI4" s="613"/>
      <c r="AJ4" s="613"/>
      <c r="AK4" s="613"/>
      <c r="AL4" s="613"/>
      <c r="AM4" s="614"/>
      <c r="AN4" s="613" t="s">
        <v>523</v>
      </c>
      <c r="AO4" s="613" t="s">
        <v>523</v>
      </c>
      <c r="AP4" s="613" t="s">
        <v>523</v>
      </c>
      <c r="AQ4" s="613" t="s">
        <v>523</v>
      </c>
      <c r="AR4" s="613" t="s">
        <v>523</v>
      </c>
      <c r="AS4" s="615" t="s">
        <v>523</v>
      </c>
      <c r="AT4" s="616" t="s">
        <v>523</v>
      </c>
    </row>
    <row r="5" spans="1:46" ht="13.5" thickTop="1">
      <c r="A5" s="11">
        <v>1</v>
      </c>
      <c r="B5" s="617">
        <f>A5</f>
        <v>1</v>
      </c>
      <c r="C5" s="617"/>
      <c r="D5" s="617">
        <f>B5*1852</f>
        <v>1852</v>
      </c>
      <c r="E5" s="617">
        <f>D5/1000</f>
        <v>1.852</v>
      </c>
      <c r="F5" s="618">
        <f aca="true" t="shared" si="0" ref="F5:F18">D5*100</f>
        <v>185200</v>
      </c>
      <c r="G5" s="619">
        <f>F5/30.48</f>
        <v>6076.115485564304</v>
      </c>
      <c r="H5" s="617">
        <f>G5</f>
        <v>6076.115485564304</v>
      </c>
      <c r="J5" s="620" t="s">
        <v>44</v>
      </c>
      <c r="L5" s="621">
        <f>A5</f>
        <v>1</v>
      </c>
      <c r="M5" s="622">
        <f>1852*L5*2/300</f>
        <v>12.346666666666666</v>
      </c>
      <c r="N5" s="623" t="s">
        <v>524</v>
      </c>
      <c r="O5" s="624">
        <f aca="true" t="shared" si="1" ref="O5:O16">$M5+IF($N5="X",50,IF($N5="Y",56,10000000000))</f>
        <v>62.346666666666664</v>
      </c>
      <c r="Q5" s="625">
        <v>40</v>
      </c>
      <c r="R5" s="626">
        <f>Q5/(0.3048*1852)</f>
        <v>0.07086047289445191</v>
      </c>
      <c r="S5" s="626">
        <f>Q5/0.3048</f>
        <v>131.23359580052494</v>
      </c>
      <c r="T5" s="627">
        <f>Q5-$T$2</f>
        <v>0</v>
      </c>
      <c r="U5" s="626">
        <f>S5/150</f>
        <v>0.8748906386701663</v>
      </c>
      <c r="V5" s="628">
        <f>Q5/($AD$2*1000)</f>
        <v>0.3998976</v>
      </c>
      <c r="W5" s="629">
        <f>20*LOG($T$2/$Q5)</f>
        <v>0</v>
      </c>
      <c r="X5" s="630">
        <f>2*V5/0.001</f>
        <v>799.7952</v>
      </c>
      <c r="Y5" s="630"/>
      <c r="Z5" s="631">
        <f aca="true" t="shared" si="2" ref="Z5:Z12">$AD$1</f>
        <v>4363</v>
      </c>
      <c r="AA5" s="632">
        <f aca="true" t="shared" si="3" ref="AA5:AA12">$Z$5+$U5*0.001*$Z$1/$V5</f>
        <v>4363.269097760418</v>
      </c>
      <c r="AB5" s="632">
        <f>AA5</f>
        <v>4363.269097760418</v>
      </c>
      <c r="AC5" s="632">
        <f aca="true" t="shared" si="4" ref="AC5:AC12">$AD$1+$Z$1</f>
        <v>4486</v>
      </c>
      <c r="AD5" s="632">
        <f>Z5</f>
        <v>4363</v>
      </c>
      <c r="AE5" s="632">
        <f>AA5</f>
        <v>4363.269097760418</v>
      </c>
      <c r="AF5" s="626"/>
      <c r="AG5" s="632">
        <v>0</v>
      </c>
      <c r="AH5" s="632">
        <f>$U5</f>
        <v>0.8748906386701663</v>
      </c>
      <c r="AI5" s="632">
        <f>AH5</f>
        <v>0.8748906386701663</v>
      </c>
      <c r="AJ5" s="632">
        <f>V5*1000</f>
        <v>399.8976</v>
      </c>
      <c r="AK5" s="632">
        <f>AJ5</f>
        <v>399.8976</v>
      </c>
      <c r="AL5" s="632">
        <f>AK5+AH5</f>
        <v>400.7724906386702</v>
      </c>
      <c r="AM5" s="333"/>
      <c r="AN5" s="632">
        <f>AQ5</f>
        <v>4485.975</v>
      </c>
      <c r="AO5" s="632">
        <f>AS5</f>
        <v>4486</v>
      </c>
      <c r="AP5" s="632">
        <f>AA5-$Z$2/1000</f>
        <v>4363.244097760418</v>
      </c>
      <c r="AQ5" s="632">
        <f>AC5-$Z$2/1000</f>
        <v>4485.975</v>
      </c>
      <c r="AR5" s="632">
        <f>AQ5</f>
        <v>4485.975</v>
      </c>
      <c r="AS5" s="633">
        <f>AC5</f>
        <v>4486</v>
      </c>
      <c r="AT5" s="634"/>
    </row>
    <row r="6" spans="1:46" ht="12.75">
      <c r="A6" s="11">
        <v>0.6</v>
      </c>
      <c r="B6" s="617">
        <f aca="true" t="shared" si="5" ref="B6:B18">A6</f>
        <v>0.6</v>
      </c>
      <c r="C6" s="617"/>
      <c r="D6" s="617">
        <f aca="true" t="shared" si="6" ref="D6:D14">B6*1852</f>
        <v>1111.2</v>
      </c>
      <c r="E6" s="617">
        <f aca="true" t="shared" si="7" ref="E6:E18">D6/1000</f>
        <v>1.1112</v>
      </c>
      <c r="F6" s="618">
        <f t="shared" si="0"/>
        <v>111120</v>
      </c>
      <c r="G6" s="619">
        <f>F6/30.48</f>
        <v>3645.6692913385828</v>
      </c>
      <c r="H6" s="617">
        <f aca="true" t="shared" si="8" ref="H6:H18">G6</f>
        <v>3645.6692913385828</v>
      </c>
      <c r="J6" s="620" t="s">
        <v>44</v>
      </c>
      <c r="L6" s="621">
        <v>1</v>
      </c>
      <c r="M6" s="622">
        <f aca="true" t="shared" si="9" ref="M6:M12">1852*L6*2/300</f>
        <v>12.346666666666666</v>
      </c>
      <c r="N6" s="623" t="s">
        <v>525</v>
      </c>
      <c r="O6" s="624">
        <f t="shared" si="1"/>
        <v>68.34666666666666</v>
      </c>
      <c r="Q6" s="625">
        <v>100</v>
      </c>
      <c r="R6" s="626">
        <f aca="true" t="shared" si="10" ref="R6:R12">Q6/(0.3048*1852)</f>
        <v>0.17715118223612977</v>
      </c>
      <c r="S6" s="626">
        <f aca="true" t="shared" si="11" ref="S6:S12">Q6/0.3048</f>
        <v>328.0839895013123</v>
      </c>
      <c r="T6" s="627">
        <f aca="true" t="shared" si="12" ref="T6:T12">Q6-$T$2</f>
        <v>60</v>
      </c>
      <c r="U6" s="626">
        <f aca="true" t="shared" si="13" ref="U6:U11">S6/150</f>
        <v>2.1872265966754156</v>
      </c>
      <c r="V6" s="628">
        <f aca="true" t="shared" si="14" ref="V6:V12">Q6/($AD$2*1000)</f>
        <v>0.9997440000000001</v>
      </c>
      <c r="W6" s="629">
        <f aca="true" t="shared" si="15" ref="W6:W12">20*LOG($T$2/$Q6)</f>
        <v>-7.958800173440752</v>
      </c>
      <c r="X6" s="630">
        <f aca="true" t="shared" si="16" ref="X6:X12">2*V6/0.001</f>
        <v>1999.488</v>
      </c>
      <c r="Y6" s="630"/>
      <c r="Z6" s="631">
        <f t="shared" si="2"/>
        <v>4363</v>
      </c>
      <c r="AA6" s="632">
        <f t="shared" si="3"/>
        <v>4363.269097760418</v>
      </c>
      <c r="AB6" s="632">
        <f aca="true" t="shared" si="17" ref="AB6:AB12">AA6</f>
        <v>4363.269097760418</v>
      </c>
      <c r="AC6" s="632">
        <f t="shared" si="4"/>
        <v>4486</v>
      </c>
      <c r="AD6" s="632">
        <f aca="true" t="shared" si="18" ref="AD6:AE12">Z6</f>
        <v>4363</v>
      </c>
      <c r="AE6" s="632">
        <f t="shared" si="18"/>
        <v>4363.269097760418</v>
      </c>
      <c r="AF6" s="626"/>
      <c r="AG6" s="632">
        <v>0</v>
      </c>
      <c r="AH6" s="632">
        <f aca="true" t="shared" si="19" ref="AH6:AH12">$U6</f>
        <v>2.1872265966754156</v>
      </c>
      <c r="AI6" s="632">
        <f aca="true" t="shared" si="20" ref="AI6:AI12">AH6</f>
        <v>2.1872265966754156</v>
      </c>
      <c r="AJ6" s="632">
        <f aca="true" t="shared" si="21" ref="AJ6:AJ12">V6*1000</f>
        <v>999.744</v>
      </c>
      <c r="AK6" s="632">
        <f aca="true" t="shared" si="22" ref="AK6:AK12">AJ6</f>
        <v>999.744</v>
      </c>
      <c r="AL6" s="632">
        <f aca="true" t="shared" si="23" ref="AL6:AL12">AK6+AH6</f>
        <v>1001.9312265966754</v>
      </c>
      <c r="AM6" s="333"/>
      <c r="AN6" s="632">
        <f aca="true" t="shared" si="24" ref="AN6:AN12">AQ6</f>
        <v>4485.975</v>
      </c>
      <c r="AO6" s="632">
        <f aca="true" t="shared" si="25" ref="AO6:AO12">AS6</f>
        <v>4486</v>
      </c>
      <c r="AP6" s="632">
        <f aca="true" t="shared" si="26" ref="AP6:AP12">AA6-$Z$2/1000</f>
        <v>4363.244097760418</v>
      </c>
      <c r="AQ6" s="632">
        <f aca="true" t="shared" si="27" ref="AQ6:AQ12">AC6-$Z$2/1000</f>
        <v>4485.975</v>
      </c>
      <c r="AR6" s="632">
        <f aca="true" t="shared" si="28" ref="AR6:AR12">AQ6</f>
        <v>4485.975</v>
      </c>
      <c r="AS6" s="633">
        <f aca="true" t="shared" si="29" ref="AS6:AS12">AC6</f>
        <v>4486</v>
      </c>
      <c r="AT6" s="634"/>
    </row>
    <row r="7" spans="1:46" ht="12.75">
      <c r="A7" s="11">
        <v>5.1</v>
      </c>
      <c r="B7" s="617">
        <f t="shared" si="5"/>
        <v>5.1</v>
      </c>
      <c r="C7" s="617"/>
      <c r="D7" s="617">
        <f t="shared" si="6"/>
        <v>9445.199999999999</v>
      </c>
      <c r="E7" s="617">
        <f t="shared" si="7"/>
        <v>9.445199999999998</v>
      </c>
      <c r="F7" s="618">
        <f t="shared" si="0"/>
        <v>944519.9999999999</v>
      </c>
      <c r="G7" s="619">
        <f>F7/30.48</f>
        <v>30988.188976377947</v>
      </c>
      <c r="H7" s="617">
        <f t="shared" si="8"/>
        <v>30988.188976377947</v>
      </c>
      <c r="J7" s="620" t="s">
        <v>44</v>
      </c>
      <c r="L7" s="621">
        <v>10</v>
      </c>
      <c r="M7" s="622">
        <f t="shared" si="9"/>
        <v>123.46666666666667</v>
      </c>
      <c r="N7" s="623" t="s">
        <v>526</v>
      </c>
      <c r="O7" s="624">
        <f t="shared" si="1"/>
        <v>173.46666666666667</v>
      </c>
      <c r="Q7" s="625">
        <v>1000</v>
      </c>
      <c r="R7" s="626">
        <f t="shared" si="10"/>
        <v>1.7715118223612978</v>
      </c>
      <c r="S7" s="626">
        <f t="shared" si="11"/>
        <v>3280.839895013123</v>
      </c>
      <c r="T7" s="627">
        <f t="shared" si="12"/>
        <v>960</v>
      </c>
      <c r="U7" s="626">
        <f t="shared" si="13"/>
        <v>21.872265966754153</v>
      </c>
      <c r="V7" s="628">
        <f t="shared" si="14"/>
        <v>9.997440000000001</v>
      </c>
      <c r="W7" s="629">
        <f t="shared" si="15"/>
        <v>-27.95880017344075</v>
      </c>
      <c r="X7" s="630">
        <f t="shared" si="16"/>
        <v>19994.88</v>
      </c>
      <c r="Y7" s="630"/>
      <c r="Z7" s="631">
        <f t="shared" si="2"/>
        <v>4363</v>
      </c>
      <c r="AA7" s="632">
        <f t="shared" si="3"/>
        <v>4363.269097760418</v>
      </c>
      <c r="AB7" s="632">
        <f t="shared" si="17"/>
        <v>4363.269097760418</v>
      </c>
      <c r="AC7" s="632">
        <f t="shared" si="4"/>
        <v>4486</v>
      </c>
      <c r="AD7" s="632">
        <f t="shared" si="18"/>
        <v>4363</v>
      </c>
      <c r="AE7" s="632">
        <f t="shared" si="18"/>
        <v>4363.269097760418</v>
      </c>
      <c r="AF7" s="626"/>
      <c r="AG7" s="632">
        <v>0</v>
      </c>
      <c r="AH7" s="632">
        <f t="shared" si="19"/>
        <v>21.872265966754153</v>
      </c>
      <c r="AI7" s="632">
        <f t="shared" si="20"/>
        <v>21.872265966754153</v>
      </c>
      <c r="AJ7" s="632">
        <f t="shared" si="21"/>
        <v>9997.44</v>
      </c>
      <c r="AK7" s="632">
        <f t="shared" si="22"/>
        <v>9997.44</v>
      </c>
      <c r="AL7" s="632">
        <f t="shared" si="23"/>
        <v>10019.312265966755</v>
      </c>
      <c r="AM7" s="333"/>
      <c r="AN7" s="632">
        <f t="shared" si="24"/>
        <v>4485.975</v>
      </c>
      <c r="AO7" s="632">
        <f t="shared" si="25"/>
        <v>4486</v>
      </c>
      <c r="AP7" s="632">
        <f t="shared" si="26"/>
        <v>4363.244097760418</v>
      </c>
      <c r="AQ7" s="632">
        <f t="shared" si="27"/>
        <v>4485.975</v>
      </c>
      <c r="AR7" s="632">
        <f t="shared" si="28"/>
        <v>4485.975</v>
      </c>
      <c r="AS7" s="633">
        <f t="shared" si="29"/>
        <v>4486</v>
      </c>
      <c r="AT7" s="634"/>
    </row>
    <row r="8" spans="1:46" ht="12.75">
      <c r="A8" s="11">
        <v>200</v>
      </c>
      <c r="B8" s="617">
        <f t="shared" si="5"/>
        <v>200</v>
      </c>
      <c r="C8" s="617"/>
      <c r="D8" s="617">
        <f t="shared" si="6"/>
        <v>370400</v>
      </c>
      <c r="E8" s="617">
        <f t="shared" si="7"/>
        <v>370.4</v>
      </c>
      <c r="F8" s="618">
        <f t="shared" si="0"/>
        <v>37040000</v>
      </c>
      <c r="G8" s="635">
        <f>F8/30.48</f>
        <v>1215223.0971128608</v>
      </c>
      <c r="H8" s="617">
        <f t="shared" si="8"/>
        <v>1215223.0971128608</v>
      </c>
      <c r="J8" s="620" t="s">
        <v>44</v>
      </c>
      <c r="L8" s="621">
        <v>10</v>
      </c>
      <c r="M8" s="622">
        <f t="shared" si="9"/>
        <v>123.46666666666667</v>
      </c>
      <c r="N8" s="623" t="s">
        <v>525</v>
      </c>
      <c r="O8" s="624">
        <f t="shared" si="1"/>
        <v>179.46666666666667</v>
      </c>
      <c r="Q8" s="636">
        <v>2000</v>
      </c>
      <c r="R8" s="626">
        <f t="shared" si="10"/>
        <v>3.5430236447225956</v>
      </c>
      <c r="S8" s="626">
        <f t="shared" si="11"/>
        <v>6561.679790026246</v>
      </c>
      <c r="T8" s="627">
        <f t="shared" si="12"/>
        <v>1960</v>
      </c>
      <c r="U8" s="626">
        <f t="shared" si="13"/>
        <v>43.744531933508306</v>
      </c>
      <c r="V8" s="628">
        <f t="shared" si="14"/>
        <v>19.994880000000002</v>
      </c>
      <c r="W8" s="629">
        <f t="shared" si="15"/>
        <v>-33.979400086720375</v>
      </c>
      <c r="X8" s="630">
        <f t="shared" si="16"/>
        <v>39989.76</v>
      </c>
      <c r="Y8" s="630"/>
      <c r="Z8" s="631">
        <f t="shared" si="2"/>
        <v>4363</v>
      </c>
      <c r="AA8" s="632">
        <f t="shared" si="3"/>
        <v>4363.269097760418</v>
      </c>
      <c r="AB8" s="632">
        <f t="shared" si="17"/>
        <v>4363.269097760418</v>
      </c>
      <c r="AC8" s="632">
        <f t="shared" si="4"/>
        <v>4486</v>
      </c>
      <c r="AD8" s="632">
        <f t="shared" si="18"/>
        <v>4363</v>
      </c>
      <c r="AE8" s="632">
        <f t="shared" si="18"/>
        <v>4363.269097760418</v>
      </c>
      <c r="AF8" s="626"/>
      <c r="AG8" s="632">
        <v>0</v>
      </c>
      <c r="AH8" s="632">
        <f t="shared" si="19"/>
        <v>43.744531933508306</v>
      </c>
      <c r="AI8" s="632">
        <f t="shared" si="20"/>
        <v>43.744531933508306</v>
      </c>
      <c r="AJ8" s="632">
        <f t="shared" si="21"/>
        <v>19994.88</v>
      </c>
      <c r="AK8" s="632">
        <f t="shared" si="22"/>
        <v>19994.88</v>
      </c>
      <c r="AL8" s="632">
        <f t="shared" si="23"/>
        <v>20038.62453193351</v>
      </c>
      <c r="AM8" s="333"/>
      <c r="AN8" s="632">
        <f t="shared" si="24"/>
        <v>4485.975</v>
      </c>
      <c r="AO8" s="632">
        <f t="shared" si="25"/>
        <v>4486</v>
      </c>
      <c r="AP8" s="632">
        <f t="shared" si="26"/>
        <v>4363.244097760418</v>
      </c>
      <c r="AQ8" s="632">
        <f t="shared" si="27"/>
        <v>4485.975</v>
      </c>
      <c r="AR8" s="632">
        <f t="shared" si="28"/>
        <v>4485.975</v>
      </c>
      <c r="AS8" s="633">
        <f t="shared" si="29"/>
        <v>4486</v>
      </c>
      <c r="AT8" s="634"/>
    </row>
    <row r="9" spans="1:46" ht="12.75">
      <c r="A9" s="11">
        <v>5</v>
      </c>
      <c r="B9" s="617">
        <f t="shared" si="5"/>
        <v>5</v>
      </c>
      <c r="C9" s="617"/>
      <c r="D9" s="617">
        <f t="shared" si="6"/>
        <v>9260</v>
      </c>
      <c r="E9" s="617">
        <f t="shared" si="7"/>
        <v>9.26</v>
      </c>
      <c r="F9" s="618">
        <f t="shared" si="0"/>
        <v>926000</v>
      </c>
      <c r="G9" s="637">
        <f>F9/30.48</f>
        <v>30380.57742782152</v>
      </c>
      <c r="H9" s="617">
        <f t="shared" si="8"/>
        <v>30380.57742782152</v>
      </c>
      <c r="J9" s="620" t="s">
        <v>44</v>
      </c>
      <c r="L9" s="621">
        <v>50</v>
      </c>
      <c r="M9" s="622">
        <f t="shared" si="9"/>
        <v>617.3333333333334</v>
      </c>
      <c r="N9" s="623" t="s">
        <v>526</v>
      </c>
      <c r="O9" s="624">
        <f t="shared" si="1"/>
        <v>667.3333333333334</v>
      </c>
      <c r="Q9" s="636">
        <v>3000</v>
      </c>
      <c r="R9" s="626">
        <f t="shared" si="10"/>
        <v>5.314535467083894</v>
      </c>
      <c r="S9" s="626">
        <f t="shared" si="11"/>
        <v>9842.51968503937</v>
      </c>
      <c r="T9" s="627">
        <f t="shared" si="12"/>
        <v>2960</v>
      </c>
      <c r="U9" s="626">
        <f t="shared" si="13"/>
        <v>65.61679790026247</v>
      </c>
      <c r="V9" s="628">
        <f t="shared" si="14"/>
        <v>29.992320000000003</v>
      </c>
      <c r="W9" s="629">
        <f t="shared" si="15"/>
        <v>-37.501225267834</v>
      </c>
      <c r="X9" s="630">
        <f t="shared" si="16"/>
        <v>59984.64000000001</v>
      </c>
      <c r="Y9" s="630"/>
      <c r="Z9" s="631">
        <f t="shared" si="2"/>
        <v>4363</v>
      </c>
      <c r="AA9" s="632">
        <f t="shared" si="3"/>
        <v>4363.269097760418</v>
      </c>
      <c r="AB9" s="632">
        <f t="shared" si="17"/>
        <v>4363.269097760418</v>
      </c>
      <c r="AC9" s="632">
        <f t="shared" si="4"/>
        <v>4486</v>
      </c>
      <c r="AD9" s="632">
        <f t="shared" si="18"/>
        <v>4363</v>
      </c>
      <c r="AE9" s="632">
        <f t="shared" si="18"/>
        <v>4363.269097760418</v>
      </c>
      <c r="AF9" s="626"/>
      <c r="AG9" s="632">
        <v>0</v>
      </c>
      <c r="AH9" s="632">
        <f t="shared" si="19"/>
        <v>65.61679790026247</v>
      </c>
      <c r="AI9" s="632">
        <f t="shared" si="20"/>
        <v>65.61679790026247</v>
      </c>
      <c r="AJ9" s="632">
        <f t="shared" si="21"/>
        <v>29992.320000000003</v>
      </c>
      <c r="AK9" s="632">
        <f t="shared" si="22"/>
        <v>29992.320000000003</v>
      </c>
      <c r="AL9" s="632">
        <f t="shared" si="23"/>
        <v>30057.936797900267</v>
      </c>
      <c r="AM9" s="333"/>
      <c r="AN9" s="632">
        <f t="shared" si="24"/>
        <v>4485.975</v>
      </c>
      <c r="AO9" s="632">
        <f t="shared" si="25"/>
        <v>4486</v>
      </c>
      <c r="AP9" s="632">
        <f t="shared" si="26"/>
        <v>4363.244097760418</v>
      </c>
      <c r="AQ9" s="632">
        <f t="shared" si="27"/>
        <v>4485.975</v>
      </c>
      <c r="AR9" s="632">
        <f t="shared" si="28"/>
        <v>4485.975</v>
      </c>
      <c r="AS9" s="633">
        <f t="shared" si="29"/>
        <v>4486</v>
      </c>
      <c r="AT9" s="634"/>
    </row>
    <row r="10" spans="1:46" ht="12.75">
      <c r="A10" s="569">
        <f aca="true" t="shared" si="30" ref="A10:A18">G10*0.3048/1852</f>
        <v>0.03291576673866091</v>
      </c>
      <c r="B10" s="617">
        <f t="shared" si="5"/>
        <v>0.03291576673866091</v>
      </c>
      <c r="C10" s="617"/>
      <c r="D10" s="617">
        <f t="shared" si="6"/>
        <v>60.96</v>
      </c>
      <c r="E10" s="617">
        <f t="shared" si="7"/>
        <v>0.06096</v>
      </c>
      <c r="F10" s="618">
        <f t="shared" si="0"/>
        <v>6096</v>
      </c>
      <c r="G10" s="12">
        <v>200</v>
      </c>
      <c r="H10" s="617">
        <f t="shared" si="8"/>
        <v>200</v>
      </c>
      <c r="J10" s="569" t="s">
        <v>42</v>
      </c>
      <c r="L10" s="621">
        <v>11</v>
      </c>
      <c r="M10" s="622">
        <f t="shared" si="9"/>
        <v>135.81333333333333</v>
      </c>
      <c r="N10" s="623" t="s">
        <v>525</v>
      </c>
      <c r="O10" s="624">
        <f t="shared" si="1"/>
        <v>191.81333333333333</v>
      </c>
      <c r="Q10" s="636">
        <v>10000</v>
      </c>
      <c r="R10" s="626">
        <f t="shared" si="10"/>
        <v>17.715118223612976</v>
      </c>
      <c r="S10" s="626">
        <f t="shared" si="11"/>
        <v>32808.39895013123</v>
      </c>
      <c r="T10" s="627">
        <f t="shared" si="12"/>
        <v>9960</v>
      </c>
      <c r="U10" s="626">
        <f t="shared" si="13"/>
        <v>218.72265966754154</v>
      </c>
      <c r="V10" s="628">
        <f t="shared" si="14"/>
        <v>99.9744</v>
      </c>
      <c r="W10" s="629">
        <f t="shared" si="15"/>
        <v>-47.95880017344075</v>
      </c>
      <c r="X10" s="630">
        <f t="shared" si="16"/>
        <v>199948.8</v>
      </c>
      <c r="Y10" s="630"/>
      <c r="Z10" s="631">
        <f t="shared" si="2"/>
        <v>4363</v>
      </c>
      <c r="AA10" s="632">
        <f t="shared" si="3"/>
        <v>4363.269097760418</v>
      </c>
      <c r="AB10" s="632">
        <f t="shared" si="17"/>
        <v>4363.269097760418</v>
      </c>
      <c r="AC10" s="632">
        <f t="shared" si="4"/>
        <v>4486</v>
      </c>
      <c r="AD10" s="632">
        <f t="shared" si="18"/>
        <v>4363</v>
      </c>
      <c r="AE10" s="632">
        <f t="shared" si="18"/>
        <v>4363.269097760418</v>
      </c>
      <c r="AF10" s="626"/>
      <c r="AG10" s="632">
        <v>0</v>
      </c>
      <c r="AH10" s="632">
        <f t="shared" si="19"/>
        <v>218.72265966754154</v>
      </c>
      <c r="AI10" s="632">
        <f t="shared" si="20"/>
        <v>218.72265966754154</v>
      </c>
      <c r="AJ10" s="632">
        <f t="shared" si="21"/>
        <v>99974.40000000001</v>
      </c>
      <c r="AK10" s="632">
        <f t="shared" si="22"/>
        <v>99974.40000000001</v>
      </c>
      <c r="AL10" s="632">
        <f t="shared" si="23"/>
        <v>100193.12265966756</v>
      </c>
      <c r="AM10" s="333"/>
      <c r="AN10" s="632">
        <f t="shared" si="24"/>
        <v>4485.975</v>
      </c>
      <c r="AO10" s="632">
        <f t="shared" si="25"/>
        <v>4486</v>
      </c>
      <c r="AP10" s="632">
        <f t="shared" si="26"/>
        <v>4363.244097760418</v>
      </c>
      <c r="AQ10" s="632">
        <f t="shared" si="27"/>
        <v>4485.975</v>
      </c>
      <c r="AR10" s="632">
        <f t="shared" si="28"/>
        <v>4485.975</v>
      </c>
      <c r="AS10" s="633">
        <f t="shared" si="29"/>
        <v>4486</v>
      </c>
      <c r="AT10" s="634"/>
    </row>
    <row r="11" spans="1:46" ht="12.75">
      <c r="A11" s="569">
        <f t="shared" si="30"/>
        <v>0.016457883369330455</v>
      </c>
      <c r="B11" s="617">
        <f t="shared" si="5"/>
        <v>0.016457883369330455</v>
      </c>
      <c r="C11" s="617"/>
      <c r="D11" s="617">
        <f t="shared" si="6"/>
        <v>30.48</v>
      </c>
      <c r="E11" s="617">
        <f t="shared" si="7"/>
        <v>0.03048</v>
      </c>
      <c r="F11" s="618">
        <f t="shared" si="0"/>
        <v>3048</v>
      </c>
      <c r="G11" s="12">
        <v>100</v>
      </c>
      <c r="H11" s="617">
        <f t="shared" si="8"/>
        <v>100</v>
      </c>
      <c r="J11" s="569" t="s">
        <v>42</v>
      </c>
      <c r="L11" s="621">
        <v>20</v>
      </c>
      <c r="M11" s="622">
        <f t="shared" si="9"/>
        <v>246.93333333333334</v>
      </c>
      <c r="N11" s="623" t="s">
        <v>525</v>
      </c>
      <c r="O11" s="624">
        <f t="shared" si="1"/>
        <v>302.93333333333334</v>
      </c>
      <c r="Q11" s="636">
        <v>30000</v>
      </c>
      <c r="R11" s="626">
        <f t="shared" si="10"/>
        <v>53.145354670838934</v>
      </c>
      <c r="S11" s="626">
        <f t="shared" si="11"/>
        <v>98425.1968503937</v>
      </c>
      <c r="T11" s="627">
        <f t="shared" si="12"/>
        <v>29960</v>
      </c>
      <c r="U11" s="626">
        <f t="shared" si="13"/>
        <v>656.1679790026246</v>
      </c>
      <c r="V11" s="628">
        <f t="shared" si="14"/>
        <v>299.9232</v>
      </c>
      <c r="W11" s="629">
        <f t="shared" si="15"/>
        <v>-57.501225267834</v>
      </c>
      <c r="X11" s="630">
        <f t="shared" si="16"/>
        <v>599846.4</v>
      </c>
      <c r="Y11" s="630"/>
      <c r="Z11" s="631">
        <f t="shared" si="2"/>
        <v>4363</v>
      </c>
      <c r="AA11" s="632">
        <f t="shared" si="3"/>
        <v>4363.269097760418</v>
      </c>
      <c r="AB11" s="632">
        <f t="shared" si="17"/>
        <v>4363.269097760418</v>
      </c>
      <c r="AC11" s="632">
        <f t="shared" si="4"/>
        <v>4486</v>
      </c>
      <c r="AD11" s="632">
        <f t="shared" si="18"/>
        <v>4363</v>
      </c>
      <c r="AE11" s="632">
        <f t="shared" si="18"/>
        <v>4363.269097760418</v>
      </c>
      <c r="AF11" s="626"/>
      <c r="AG11" s="632">
        <v>0</v>
      </c>
      <c r="AH11" s="632">
        <f t="shared" si="19"/>
        <v>656.1679790026246</v>
      </c>
      <c r="AI11" s="632">
        <f t="shared" si="20"/>
        <v>656.1679790026246</v>
      </c>
      <c r="AJ11" s="632">
        <f t="shared" si="21"/>
        <v>299923.2</v>
      </c>
      <c r="AK11" s="632">
        <f t="shared" si="22"/>
        <v>299923.2</v>
      </c>
      <c r="AL11" s="632">
        <f t="shared" si="23"/>
        <v>300579.36797900265</v>
      </c>
      <c r="AM11" s="333"/>
      <c r="AN11" s="632">
        <f t="shared" si="24"/>
        <v>4485.975</v>
      </c>
      <c r="AO11" s="632">
        <f t="shared" si="25"/>
        <v>4486</v>
      </c>
      <c r="AP11" s="632">
        <f t="shared" si="26"/>
        <v>4363.244097760418</v>
      </c>
      <c r="AQ11" s="632">
        <f t="shared" si="27"/>
        <v>4485.975</v>
      </c>
      <c r="AR11" s="632">
        <f t="shared" si="28"/>
        <v>4485.975</v>
      </c>
      <c r="AS11" s="633">
        <f t="shared" si="29"/>
        <v>4486</v>
      </c>
      <c r="AT11" s="634"/>
    </row>
    <row r="12" spans="1:46" ht="13.5" thickBot="1">
      <c r="A12" s="569">
        <f t="shared" si="30"/>
        <v>0.008228941684665227</v>
      </c>
      <c r="B12" s="617">
        <f t="shared" si="5"/>
        <v>0.008228941684665227</v>
      </c>
      <c r="C12" s="617"/>
      <c r="D12" s="617">
        <f t="shared" si="6"/>
        <v>15.24</v>
      </c>
      <c r="E12" s="617">
        <f t="shared" si="7"/>
        <v>0.01524</v>
      </c>
      <c r="F12" s="618">
        <f t="shared" si="0"/>
        <v>1524</v>
      </c>
      <c r="G12" s="12">
        <v>50</v>
      </c>
      <c r="H12" s="617">
        <f t="shared" si="8"/>
        <v>50</v>
      </c>
      <c r="J12" s="569" t="s">
        <v>42</v>
      </c>
      <c r="L12" s="621">
        <v>200</v>
      </c>
      <c r="M12" s="622">
        <f t="shared" si="9"/>
        <v>2469.3333333333335</v>
      </c>
      <c r="N12" s="623" t="s">
        <v>525</v>
      </c>
      <c r="O12" s="624">
        <f t="shared" si="1"/>
        <v>2525.3333333333335</v>
      </c>
      <c r="Q12" s="636">
        <v>30040</v>
      </c>
      <c r="R12" s="626">
        <f t="shared" si="10"/>
        <v>53.216215143733386</v>
      </c>
      <c r="S12" s="626">
        <f t="shared" si="11"/>
        <v>98556.43044619422</v>
      </c>
      <c r="T12" s="627">
        <f t="shared" si="12"/>
        <v>30000</v>
      </c>
      <c r="U12" s="626">
        <f>S12/150</f>
        <v>657.0428696412948</v>
      </c>
      <c r="V12" s="628">
        <f t="shared" si="14"/>
        <v>300.32309760000004</v>
      </c>
      <c r="W12" s="629">
        <f t="shared" si="15"/>
        <v>-57.51279874008337</v>
      </c>
      <c r="X12" s="630">
        <f t="shared" si="16"/>
        <v>600646.1952000001</v>
      </c>
      <c r="Y12" s="630"/>
      <c r="Z12" s="638">
        <f t="shared" si="2"/>
        <v>4363</v>
      </c>
      <c r="AA12" s="639">
        <f t="shared" si="3"/>
        <v>4363.269097760418</v>
      </c>
      <c r="AB12" s="639">
        <f t="shared" si="17"/>
        <v>4363.269097760418</v>
      </c>
      <c r="AC12" s="639">
        <f t="shared" si="4"/>
        <v>4486</v>
      </c>
      <c r="AD12" s="639">
        <f t="shared" si="18"/>
        <v>4363</v>
      </c>
      <c r="AE12" s="639">
        <f t="shared" si="18"/>
        <v>4363.269097760418</v>
      </c>
      <c r="AF12" s="640"/>
      <c r="AG12" s="639">
        <v>0</v>
      </c>
      <c r="AH12" s="639">
        <f t="shared" si="19"/>
        <v>657.0428696412948</v>
      </c>
      <c r="AI12" s="639">
        <f t="shared" si="20"/>
        <v>657.0428696412948</v>
      </c>
      <c r="AJ12" s="639">
        <f t="shared" si="21"/>
        <v>300323.09760000004</v>
      </c>
      <c r="AK12" s="639">
        <f t="shared" si="22"/>
        <v>300323.09760000004</v>
      </c>
      <c r="AL12" s="639">
        <f t="shared" si="23"/>
        <v>300980.1404696413</v>
      </c>
      <c r="AM12" s="415"/>
      <c r="AN12" s="639">
        <f t="shared" si="24"/>
        <v>4485.975</v>
      </c>
      <c r="AO12" s="639">
        <f t="shared" si="25"/>
        <v>4486</v>
      </c>
      <c r="AP12" s="639">
        <f t="shared" si="26"/>
        <v>4363.244097760418</v>
      </c>
      <c r="AQ12" s="639">
        <f t="shared" si="27"/>
        <v>4485.975</v>
      </c>
      <c r="AR12" s="639">
        <f t="shared" si="28"/>
        <v>4485.975</v>
      </c>
      <c r="AS12" s="641">
        <f t="shared" si="29"/>
        <v>4486</v>
      </c>
      <c r="AT12" s="634"/>
    </row>
    <row r="13" spans="1:46" ht="12.75">
      <c r="A13" s="569">
        <f t="shared" si="30"/>
        <v>0.16457883369330453</v>
      </c>
      <c r="B13" s="617">
        <f t="shared" si="5"/>
        <v>0.16457883369330453</v>
      </c>
      <c r="C13" s="617"/>
      <c r="D13" s="617">
        <f t="shared" si="6"/>
        <v>304.8</v>
      </c>
      <c r="E13" s="617">
        <f t="shared" si="7"/>
        <v>0.3048</v>
      </c>
      <c r="F13" s="618">
        <f t="shared" si="0"/>
        <v>30480</v>
      </c>
      <c r="G13" s="12">
        <v>1000</v>
      </c>
      <c r="H13" s="617">
        <f t="shared" si="8"/>
        <v>1000</v>
      </c>
      <c r="J13" s="569" t="s">
        <v>41</v>
      </c>
      <c r="L13" s="642">
        <f>M13*150/1852</f>
        <v>0.9719222462203023</v>
      </c>
      <c r="M13" s="643">
        <v>12</v>
      </c>
      <c r="N13" s="623" t="s">
        <v>526</v>
      </c>
      <c r="O13" s="624">
        <f t="shared" si="1"/>
        <v>62</v>
      </c>
      <c r="Q13" s="644"/>
      <c r="R13" s="626"/>
      <c r="S13" s="626"/>
      <c r="T13" s="626"/>
      <c r="U13" s="626"/>
      <c r="V13" s="626"/>
      <c r="W13" s="626"/>
      <c r="X13" s="626"/>
      <c r="Y13" s="626"/>
      <c r="Z13" s="626"/>
      <c r="AA13" s="626"/>
      <c r="AB13" s="626"/>
      <c r="AC13" s="626"/>
      <c r="AD13" s="626"/>
      <c r="AE13" s="626"/>
      <c r="AF13" s="626"/>
      <c r="AG13" s="626"/>
      <c r="AH13" s="626"/>
      <c r="AI13" s="626"/>
      <c r="AJ13" s="626"/>
      <c r="AK13" s="626"/>
      <c r="AL13" s="626"/>
      <c r="AN13" s="626"/>
      <c r="AO13" s="626"/>
      <c r="AP13" s="626"/>
      <c r="AQ13" s="626"/>
      <c r="AR13" s="626"/>
      <c r="AS13" s="626"/>
      <c r="AT13" s="634"/>
    </row>
    <row r="14" spans="1:46" ht="12.75">
      <c r="A14" s="569">
        <f t="shared" si="30"/>
        <v>4.9373650107991365</v>
      </c>
      <c r="B14" s="617">
        <f t="shared" si="5"/>
        <v>4.9373650107991365</v>
      </c>
      <c r="C14" s="617"/>
      <c r="D14" s="617">
        <f t="shared" si="6"/>
        <v>9144</v>
      </c>
      <c r="E14" s="617">
        <f t="shared" si="7"/>
        <v>9.144</v>
      </c>
      <c r="F14" s="618">
        <f t="shared" si="0"/>
        <v>914400</v>
      </c>
      <c r="G14" s="12">
        <v>30000</v>
      </c>
      <c r="H14" s="617">
        <f t="shared" si="8"/>
        <v>30000</v>
      </c>
      <c r="J14" s="569" t="s">
        <v>41</v>
      </c>
      <c r="L14" s="642">
        <f aca="true" t="shared" si="31" ref="L14:L20">M14*150/1852</f>
        <v>4.049676025917926</v>
      </c>
      <c r="M14" s="643">
        <v>50</v>
      </c>
      <c r="N14" s="623" t="s">
        <v>526</v>
      </c>
      <c r="O14" s="624">
        <f t="shared" si="1"/>
        <v>100</v>
      </c>
      <c r="Q14" s="644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626"/>
      <c r="AL14" s="626"/>
      <c r="AN14" s="626"/>
      <c r="AO14" s="626"/>
      <c r="AP14" s="626"/>
      <c r="AQ14" s="626"/>
      <c r="AR14" s="626"/>
      <c r="AS14" s="626"/>
      <c r="AT14" s="634"/>
    </row>
    <row r="15" spans="1:46" ht="12.75">
      <c r="A15" s="569">
        <f t="shared" si="30"/>
        <v>0.0005399568034557235</v>
      </c>
      <c r="B15" s="617">
        <f t="shared" si="5"/>
        <v>0.0005399568034557235</v>
      </c>
      <c r="C15" s="617"/>
      <c r="D15" s="12">
        <v>1</v>
      </c>
      <c r="E15" s="617">
        <f t="shared" si="7"/>
        <v>0.001</v>
      </c>
      <c r="F15" s="618">
        <f t="shared" si="0"/>
        <v>100</v>
      </c>
      <c r="G15" s="619">
        <f>D15/0.3048</f>
        <v>3.280839895013123</v>
      </c>
      <c r="H15" s="617">
        <f t="shared" si="8"/>
        <v>3.280839895013123</v>
      </c>
      <c r="J15" s="620" t="s">
        <v>43</v>
      </c>
      <c r="L15" s="642">
        <f t="shared" si="31"/>
        <v>4.859611231101512</v>
      </c>
      <c r="M15" s="643">
        <v>60</v>
      </c>
      <c r="N15" s="623" t="s">
        <v>525</v>
      </c>
      <c r="O15" s="624">
        <f t="shared" si="1"/>
        <v>116</v>
      </c>
      <c r="Q15" s="644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626"/>
      <c r="AL15" s="626"/>
      <c r="AN15" s="626"/>
      <c r="AO15" s="626"/>
      <c r="AP15" s="626"/>
      <c r="AQ15" s="626"/>
      <c r="AR15" s="626"/>
      <c r="AS15" s="626"/>
      <c r="AT15" s="634"/>
    </row>
    <row r="16" spans="1:46" ht="12.75">
      <c r="A16" s="569">
        <f t="shared" si="30"/>
        <v>0.16198704103671707</v>
      </c>
      <c r="B16" s="617">
        <f t="shared" si="5"/>
        <v>0.16198704103671707</v>
      </c>
      <c r="C16" s="617"/>
      <c r="D16" s="12">
        <v>300</v>
      </c>
      <c r="E16" s="617">
        <f t="shared" si="7"/>
        <v>0.3</v>
      </c>
      <c r="F16" s="618">
        <f t="shared" si="0"/>
        <v>30000</v>
      </c>
      <c r="G16" s="619">
        <f>D16/0.3048</f>
        <v>984.251968503937</v>
      </c>
      <c r="H16" s="617">
        <f t="shared" si="8"/>
        <v>984.251968503937</v>
      </c>
      <c r="J16" s="620" t="s">
        <v>43</v>
      </c>
      <c r="L16" s="642">
        <f t="shared" si="31"/>
        <v>9.9622030237581</v>
      </c>
      <c r="M16" s="643">
        <v>123</v>
      </c>
      <c r="N16" s="623" t="s">
        <v>525</v>
      </c>
      <c r="O16" s="624">
        <f t="shared" si="1"/>
        <v>179</v>
      </c>
      <c r="Q16" s="644"/>
      <c r="R16" s="626"/>
      <c r="S16" s="626"/>
      <c r="T16" s="626"/>
      <c r="U16" s="626"/>
      <c r="V16" s="626"/>
      <c r="W16" s="626"/>
      <c r="X16" s="626"/>
      <c r="Y16" s="626"/>
      <c r="Z16" s="626"/>
      <c r="AA16" s="626"/>
      <c r="AB16" s="626"/>
      <c r="AC16" s="626"/>
      <c r="AD16" s="626"/>
      <c r="AE16" s="626"/>
      <c r="AF16" s="626"/>
      <c r="AG16" s="626"/>
      <c r="AH16" s="626"/>
      <c r="AI16" s="626"/>
      <c r="AJ16" s="626"/>
      <c r="AK16" s="626"/>
      <c r="AL16" s="626"/>
      <c r="AN16" s="626"/>
      <c r="AO16" s="626"/>
      <c r="AP16" s="626"/>
      <c r="AQ16" s="626"/>
      <c r="AR16" s="626"/>
      <c r="AS16" s="626"/>
      <c r="AT16" s="634"/>
    </row>
    <row r="17" spans="1:46" ht="12.75">
      <c r="A17" s="569">
        <f t="shared" si="30"/>
        <v>0.1079913606911447</v>
      </c>
      <c r="B17" s="617">
        <f t="shared" si="5"/>
        <v>0.1079913606911447</v>
      </c>
      <c r="C17" s="617"/>
      <c r="D17" s="12">
        <v>200</v>
      </c>
      <c r="E17" s="617">
        <f t="shared" si="7"/>
        <v>0.2</v>
      </c>
      <c r="F17" s="618">
        <f t="shared" si="0"/>
        <v>20000</v>
      </c>
      <c r="G17" s="619">
        <f>D17/0.3048</f>
        <v>656.1679790026246</v>
      </c>
      <c r="H17" s="617">
        <f t="shared" si="8"/>
        <v>656.1679790026246</v>
      </c>
      <c r="J17" s="620" t="s">
        <v>43</v>
      </c>
      <c r="L17" s="642">
        <f t="shared" si="31"/>
        <v>3.5637149028077753</v>
      </c>
      <c r="M17" s="624">
        <f>IF($N17="X",$O17-50,IF($N17="Y",$O17-56,10000000000))</f>
        <v>44</v>
      </c>
      <c r="N17" s="623" t="s">
        <v>525</v>
      </c>
      <c r="O17" s="645">
        <v>100</v>
      </c>
      <c r="P17" s="840" t="s">
        <v>527</v>
      </c>
      <c r="Q17" s="644"/>
      <c r="R17" s="626"/>
      <c r="S17" s="626"/>
      <c r="T17" s="626"/>
      <c r="U17" s="626"/>
      <c r="V17" s="626"/>
      <c r="W17" s="626"/>
      <c r="X17" s="626"/>
      <c r="Y17" s="626"/>
      <c r="Z17" s="626"/>
      <c r="AA17" s="626"/>
      <c r="AB17" s="626"/>
      <c r="AC17" s="626"/>
      <c r="AD17" s="626"/>
      <c r="AE17" s="626"/>
      <c r="AF17" s="626"/>
      <c r="AG17" s="626"/>
      <c r="AH17" s="626"/>
      <c r="AI17" s="626"/>
      <c r="AJ17" s="626"/>
      <c r="AK17" s="626"/>
      <c r="AL17" s="626"/>
      <c r="AN17" s="626"/>
      <c r="AO17" s="626"/>
      <c r="AP17" s="626"/>
      <c r="AQ17" s="626"/>
      <c r="AR17" s="626"/>
      <c r="AS17" s="626"/>
      <c r="AT17" s="634"/>
    </row>
    <row r="18" spans="1:46" ht="12.75">
      <c r="A18" s="569">
        <f t="shared" si="30"/>
        <v>0.04049676025917927</v>
      </c>
      <c r="B18" s="617">
        <f t="shared" si="5"/>
        <v>0.04049676025917927</v>
      </c>
      <c r="C18" s="617"/>
      <c r="D18" s="12">
        <v>75</v>
      </c>
      <c r="E18" s="617">
        <f t="shared" si="7"/>
        <v>0.075</v>
      </c>
      <c r="F18" s="618">
        <f t="shared" si="0"/>
        <v>7500</v>
      </c>
      <c r="G18" s="619">
        <f>D18/0.3048</f>
        <v>246.06299212598424</v>
      </c>
      <c r="H18" s="617">
        <f t="shared" si="8"/>
        <v>246.06299212598424</v>
      </c>
      <c r="J18" s="620" t="s">
        <v>43</v>
      </c>
      <c r="L18" s="642">
        <f t="shared" si="31"/>
        <v>157.93736501079914</v>
      </c>
      <c r="M18" s="624">
        <f>IF($N18="X",$O18-50,IF($N18="Y",$O18-56,10000000000))</f>
        <v>1950</v>
      </c>
      <c r="N18" s="623" t="s">
        <v>524</v>
      </c>
      <c r="O18" s="645">
        <v>2000</v>
      </c>
      <c r="P18" s="841"/>
      <c r="Q18" s="644"/>
      <c r="R18" s="626"/>
      <c r="S18" s="626"/>
      <c r="T18" s="626"/>
      <c r="U18" s="626"/>
      <c r="V18" s="626"/>
      <c r="W18" s="626"/>
      <c r="X18" s="626"/>
      <c r="Y18" s="626"/>
      <c r="Z18" s="626"/>
      <c r="AA18" s="626"/>
      <c r="AB18" s="626"/>
      <c r="AC18" s="626"/>
      <c r="AD18" s="626"/>
      <c r="AE18" s="626"/>
      <c r="AF18" s="626"/>
      <c r="AG18" s="626"/>
      <c r="AH18" s="626"/>
      <c r="AI18" s="626"/>
      <c r="AJ18" s="626"/>
      <c r="AK18" s="626"/>
      <c r="AL18" s="626"/>
      <c r="AN18" s="626"/>
      <c r="AO18" s="626"/>
      <c r="AP18" s="626"/>
      <c r="AQ18" s="626"/>
      <c r="AR18" s="626"/>
      <c r="AS18" s="626"/>
      <c r="AT18" s="634"/>
    </row>
    <row r="19" spans="12:46" ht="12.75">
      <c r="L19" s="642">
        <f t="shared" si="31"/>
        <v>0.8099352051835853</v>
      </c>
      <c r="M19" s="624">
        <f>IF($N19="X",$O19-50,IF($N19="Y",$O19-56,10000000000))</f>
        <v>10</v>
      </c>
      <c r="N19" s="623" t="s">
        <v>526</v>
      </c>
      <c r="O19" s="645">
        <v>60</v>
      </c>
      <c r="P19" s="841"/>
      <c r="Q19" s="644"/>
      <c r="R19" s="626"/>
      <c r="S19" s="626"/>
      <c r="T19" s="626"/>
      <c r="U19" s="626"/>
      <c r="V19" s="626"/>
      <c r="W19" s="626"/>
      <c r="X19" s="626"/>
      <c r="Y19" s="626"/>
      <c r="Z19" s="626"/>
      <c r="AA19" s="626"/>
      <c r="AB19" s="626"/>
      <c r="AC19" s="626"/>
      <c r="AD19" s="626"/>
      <c r="AE19" s="626"/>
      <c r="AF19" s="626"/>
      <c r="AG19" s="626"/>
      <c r="AH19" s="626"/>
      <c r="AI19" s="626"/>
      <c r="AJ19" s="626"/>
      <c r="AK19" s="626"/>
      <c r="AL19" s="626"/>
      <c r="AN19" s="626"/>
      <c r="AO19" s="626"/>
      <c r="AP19" s="626"/>
      <c r="AQ19" s="626"/>
      <c r="AR19" s="626"/>
      <c r="AS19" s="626"/>
      <c r="AT19" s="634"/>
    </row>
    <row r="20" spans="12:46" ht="13.5" thickBot="1">
      <c r="L20" s="642">
        <f t="shared" si="31"/>
        <v>19.762419006479483</v>
      </c>
      <c r="M20" s="624">
        <f>IF($N20="X",$O20-50,IF($N20="Y",$O20-56,10000000000))</f>
        <v>244</v>
      </c>
      <c r="N20" s="623" t="s">
        <v>525</v>
      </c>
      <c r="O20" s="645">
        <v>300</v>
      </c>
      <c r="P20" s="841"/>
      <c r="Q20" s="646"/>
      <c r="R20" s="647"/>
      <c r="S20" s="647"/>
      <c r="T20" s="647"/>
      <c r="U20" s="647"/>
      <c r="V20" s="647"/>
      <c r="W20" s="647"/>
      <c r="X20" s="647"/>
      <c r="Y20" s="647"/>
      <c r="Z20" s="647"/>
      <c r="AA20" s="647"/>
      <c r="AB20" s="647"/>
      <c r="AC20" s="647"/>
      <c r="AD20" s="647"/>
      <c r="AE20" s="647"/>
      <c r="AF20" s="647"/>
      <c r="AG20" s="647"/>
      <c r="AH20" s="647"/>
      <c r="AI20" s="647"/>
      <c r="AJ20" s="647"/>
      <c r="AK20" s="647"/>
      <c r="AL20" s="647"/>
      <c r="AN20" s="647"/>
      <c r="AO20" s="647"/>
      <c r="AP20" s="647"/>
      <c r="AQ20" s="647"/>
      <c r="AR20" s="647"/>
      <c r="AS20" s="647"/>
      <c r="AT20" s="648"/>
    </row>
    <row r="21" s="649" customFormat="1" ht="26.25" thickTop="1">
      <c r="A21" s="649" t="s">
        <v>39</v>
      </c>
    </row>
    <row r="22" spans="1:7" s="650" customFormat="1" ht="12.75">
      <c r="A22" s="650" t="s">
        <v>17</v>
      </c>
      <c r="B22" s="650" t="s">
        <v>8</v>
      </c>
      <c r="E22" s="650" t="s">
        <v>11</v>
      </c>
      <c r="G22" s="570"/>
    </row>
    <row r="23" spans="1:10" s="650" customFormat="1" ht="25.5" customHeight="1">
      <c r="A23" s="651" t="s">
        <v>18</v>
      </c>
      <c r="B23" s="650" t="s">
        <v>7</v>
      </c>
      <c r="D23" s="650" t="s">
        <v>9</v>
      </c>
      <c r="E23" s="650" t="s">
        <v>10</v>
      </c>
      <c r="F23" s="650" t="s">
        <v>12</v>
      </c>
      <c r="G23" s="570" t="s">
        <v>14</v>
      </c>
      <c r="H23" s="650" t="s">
        <v>14</v>
      </c>
      <c r="I23" s="650" t="s">
        <v>9</v>
      </c>
      <c r="J23" s="650" t="s">
        <v>10</v>
      </c>
    </row>
    <row r="24" spans="1:10" s="650" customFormat="1" ht="12.75">
      <c r="A24" s="650" t="s">
        <v>13</v>
      </c>
      <c r="B24" s="650" t="s">
        <v>0</v>
      </c>
      <c r="D24" s="650" t="s">
        <v>0</v>
      </c>
      <c r="E24" s="650" t="s">
        <v>0</v>
      </c>
      <c r="F24" s="650" t="s">
        <v>13</v>
      </c>
      <c r="G24" s="570" t="s">
        <v>15</v>
      </c>
      <c r="H24" s="650" t="s">
        <v>16</v>
      </c>
      <c r="I24" s="650" t="s">
        <v>2</v>
      </c>
      <c r="J24" s="650" t="s">
        <v>5</v>
      </c>
    </row>
    <row r="25" spans="1:10" ht="12.75">
      <c r="A25" s="617">
        <f aca="true" t="shared" si="32" ref="A25:A30">100*(B25-D25)/B25</f>
        <v>0.1370465245426189</v>
      </c>
      <c r="B25" s="12">
        <v>5</v>
      </c>
      <c r="C25" s="12"/>
      <c r="D25" s="617">
        <f aca="true" t="shared" si="33" ref="D25:D30">B25*COS(H25)</f>
        <v>4.993147673772869</v>
      </c>
      <c r="E25" s="617">
        <f>B25*SIN(H25)</f>
        <v>0.26167978121471913</v>
      </c>
      <c r="F25" s="617">
        <f>100*TAN(H25)</f>
        <v>5.240777928304119</v>
      </c>
      <c r="G25" s="23">
        <v>3</v>
      </c>
      <c r="H25" s="617">
        <f>G25*PI()/180</f>
        <v>0.05235987755982988</v>
      </c>
      <c r="I25" s="652">
        <f aca="true" t="shared" si="34" ref="I25:I30">D25*1852</f>
        <v>9247.309491827353</v>
      </c>
      <c r="J25" s="652">
        <f aca="true" t="shared" si="35" ref="J25:J30">E25*1852/0.3048</f>
        <v>1589.996570897834</v>
      </c>
    </row>
    <row r="26" spans="1:10" ht="12.75">
      <c r="A26" s="617">
        <f t="shared" si="32"/>
        <v>0.2435949740175829</v>
      </c>
      <c r="B26" s="12">
        <v>1000</v>
      </c>
      <c r="C26" s="12"/>
      <c r="D26" s="617">
        <f t="shared" si="33"/>
        <v>997.5640502598242</v>
      </c>
      <c r="E26" s="617">
        <f>B26*SIN(H26)</f>
        <v>69.7564737441253</v>
      </c>
      <c r="F26" s="617">
        <f>100*TAN(H26)</f>
        <v>6.992681194351041</v>
      </c>
      <c r="G26" s="23">
        <v>4</v>
      </c>
      <c r="H26" s="617">
        <f>G26*PI()/180</f>
        <v>0.06981317007977318</v>
      </c>
      <c r="I26" s="652">
        <f t="shared" si="34"/>
        <v>1847488.6210811944</v>
      </c>
      <c r="J26" s="652">
        <f t="shared" si="35"/>
        <v>423848.3903350396</v>
      </c>
    </row>
    <row r="27" spans="1:10" ht="12.75">
      <c r="A27" s="617">
        <f t="shared" si="32"/>
        <v>0.06091729809043045</v>
      </c>
      <c r="B27" s="12">
        <v>5</v>
      </c>
      <c r="C27" s="12"/>
      <c r="D27" s="617">
        <f t="shared" si="33"/>
        <v>4.9969541350954785</v>
      </c>
      <c r="E27" s="617">
        <f>B27*SIN(H27)</f>
        <v>0.17449748351250485</v>
      </c>
      <c r="F27" s="617">
        <f>100*TAN(H27)</f>
        <v>3.492076949174773</v>
      </c>
      <c r="G27" s="23">
        <v>2</v>
      </c>
      <c r="H27" s="617">
        <f>G27*PI()/180</f>
        <v>0.03490658503988659</v>
      </c>
      <c r="I27" s="652">
        <f t="shared" si="34"/>
        <v>9254.359058196826</v>
      </c>
      <c r="J27" s="652">
        <f t="shared" si="35"/>
        <v>1060.2668617623326</v>
      </c>
    </row>
    <row r="28" spans="1:10" ht="12.75">
      <c r="A28" s="617">
        <f t="shared" si="32"/>
        <v>0.07990412782106056</v>
      </c>
      <c r="B28" s="617">
        <f>E28/SIN(H28)</f>
        <v>12509.996003196802</v>
      </c>
      <c r="C28" s="653"/>
      <c r="D28" s="617">
        <f t="shared" si="33"/>
        <v>12499.999999999998</v>
      </c>
      <c r="E28" s="12">
        <v>500</v>
      </c>
      <c r="F28" s="12">
        <v>4</v>
      </c>
      <c r="G28" s="619">
        <f>H28*180/PI()</f>
        <v>2.2906100426385296</v>
      </c>
      <c r="H28" s="617">
        <f>ATAN(F28/100)</f>
        <v>0.039978687123290044</v>
      </c>
      <c r="I28" s="652">
        <f t="shared" si="34"/>
        <v>23149999.999999996</v>
      </c>
      <c r="J28" s="652">
        <f t="shared" si="35"/>
        <v>3038057.7427821523</v>
      </c>
    </row>
    <row r="29" spans="1:10" ht="12.75">
      <c r="A29" s="617">
        <f t="shared" si="32"/>
        <v>0.044969647763322046</v>
      </c>
      <c r="B29" s="617">
        <f>E29/SIN(H29)</f>
        <v>16674.164979925612</v>
      </c>
      <c r="C29" s="653"/>
      <c r="D29" s="617">
        <f t="shared" si="33"/>
        <v>16666.666666666664</v>
      </c>
      <c r="E29" s="12">
        <v>500</v>
      </c>
      <c r="F29" s="12">
        <v>3</v>
      </c>
      <c r="G29" s="619">
        <f>H29*180/PI()</f>
        <v>1.7183580016554572</v>
      </c>
      <c r="H29" s="617">
        <f>ATAN(F29/100)</f>
        <v>0.0299910048568779</v>
      </c>
      <c r="I29" s="652">
        <f t="shared" si="34"/>
        <v>30866666.66666666</v>
      </c>
      <c r="J29" s="652">
        <f t="shared" si="35"/>
        <v>3038057.7427821523</v>
      </c>
    </row>
    <row r="30" spans="1:10" ht="12.75">
      <c r="A30" s="617">
        <f t="shared" si="32"/>
        <v>0.12476611221552954</v>
      </c>
      <c r="B30" s="617">
        <f>E30/SIN(H30)</f>
        <v>10012.492197250393</v>
      </c>
      <c r="C30" s="653"/>
      <c r="D30" s="617">
        <f t="shared" si="33"/>
        <v>10000</v>
      </c>
      <c r="E30" s="12">
        <v>500</v>
      </c>
      <c r="F30" s="12">
        <v>5</v>
      </c>
      <c r="G30" s="619">
        <f>H30*180/PI()</f>
        <v>2.8624052261117474</v>
      </c>
      <c r="H30" s="617">
        <f>ATAN(F30/100)</f>
        <v>0.049958395721942765</v>
      </c>
      <c r="I30" s="652">
        <f t="shared" si="34"/>
        <v>18520000</v>
      </c>
      <c r="J30" s="652">
        <f t="shared" si="35"/>
        <v>3038057.7427821523</v>
      </c>
    </row>
    <row r="31" spans="1:10" s="13" customFormat="1" ht="12.75">
      <c r="A31" s="653"/>
      <c r="B31" s="653"/>
      <c r="C31" s="653"/>
      <c r="D31" s="653"/>
      <c r="E31" s="653"/>
      <c r="F31" s="653"/>
      <c r="G31" s="23"/>
      <c r="H31" s="653"/>
      <c r="I31" s="653"/>
      <c r="J31" s="653"/>
    </row>
    <row r="32" spans="1:16" s="656" customFormat="1" ht="25.5">
      <c r="A32" s="654" t="s">
        <v>46</v>
      </c>
      <c r="B32" s="655"/>
      <c r="C32" s="655"/>
      <c r="D32" s="655"/>
      <c r="E32" s="655"/>
      <c r="F32" s="654" t="s">
        <v>45</v>
      </c>
      <c r="G32" s="619"/>
      <c r="H32" s="655"/>
      <c r="I32" s="655"/>
      <c r="J32" s="655"/>
      <c r="K32" s="586" t="s">
        <v>485</v>
      </c>
      <c r="P32" s="657"/>
    </row>
    <row r="33" spans="1:11" s="656" customFormat="1" ht="12.75">
      <c r="A33" s="655" t="s">
        <v>29</v>
      </c>
      <c r="B33" s="655" t="s">
        <v>30</v>
      </c>
      <c r="C33" s="655"/>
      <c r="D33" s="655"/>
      <c r="E33" s="655"/>
      <c r="F33" s="655"/>
      <c r="G33" s="619"/>
      <c r="H33" s="658" t="s">
        <v>31</v>
      </c>
      <c r="I33" s="655" t="s">
        <v>36</v>
      </c>
      <c r="J33" s="655" t="s">
        <v>35</v>
      </c>
      <c r="K33" s="659" t="s">
        <v>528</v>
      </c>
    </row>
    <row r="34" spans="1:11" s="658" customFormat="1" ht="12.75">
      <c r="A34" s="658" t="s">
        <v>24</v>
      </c>
      <c r="B34" s="658" t="s">
        <v>19</v>
      </c>
      <c r="D34" s="658" t="s">
        <v>23</v>
      </c>
      <c r="F34" s="658" t="s">
        <v>26</v>
      </c>
      <c r="G34" s="660" t="s">
        <v>26</v>
      </c>
      <c r="H34" s="658" t="s">
        <v>32</v>
      </c>
      <c r="K34" s="661" t="s">
        <v>529</v>
      </c>
    </row>
    <row r="35" spans="1:15" s="658" customFormat="1" ht="20.25">
      <c r="A35" s="658" t="s">
        <v>0</v>
      </c>
      <c r="B35" s="658" t="s">
        <v>20</v>
      </c>
      <c r="D35" s="662" t="s">
        <v>21</v>
      </c>
      <c r="E35" s="658" t="s">
        <v>22</v>
      </c>
      <c r="F35" s="658" t="s">
        <v>25</v>
      </c>
      <c r="G35" s="660" t="s">
        <v>27</v>
      </c>
      <c r="H35" s="658" t="s">
        <v>28</v>
      </c>
      <c r="I35" s="658" t="s">
        <v>33</v>
      </c>
      <c r="J35" s="663" t="s">
        <v>34</v>
      </c>
      <c r="K35" s="661" t="s">
        <v>530</v>
      </c>
      <c r="O35" s="657" t="s">
        <v>531</v>
      </c>
    </row>
    <row r="36" spans="1:14" s="666" customFormat="1" ht="18">
      <c r="A36" s="664">
        <v>5.1</v>
      </c>
      <c r="B36" s="665">
        <v>80</v>
      </c>
      <c r="C36" s="665"/>
      <c r="D36" s="666">
        <f aca="true" t="shared" si="36" ref="D36:D45">B36</f>
        <v>80</v>
      </c>
      <c r="E36" s="666">
        <f aca="true" t="shared" si="37" ref="E36:E45">D36*1.852</f>
        <v>148.16</v>
      </c>
      <c r="F36" s="667">
        <f aca="true" t="shared" si="38" ref="F36:G45">D36/60</f>
        <v>1.3333333333333333</v>
      </c>
      <c r="G36" s="668">
        <f t="shared" si="38"/>
        <v>2.469333333333333</v>
      </c>
      <c r="H36" s="667">
        <f aca="true" t="shared" si="39" ref="H36:H45">A36/F36</f>
        <v>3.8249999999999997</v>
      </c>
      <c r="I36" s="666">
        <f aca="true" t="shared" si="40" ref="I36:I45">ROUNDDOWN(H36,0)</f>
        <v>3</v>
      </c>
      <c r="J36" s="666">
        <f aca="true" t="shared" si="41" ref="J36:J45">(H36-I36)*60</f>
        <v>49.499999999999986</v>
      </c>
      <c r="K36" s="669"/>
      <c r="L36" s="669"/>
      <c r="M36" s="669"/>
      <c r="N36" s="669"/>
    </row>
    <row r="37" spans="1:14" s="666" customFormat="1" ht="18">
      <c r="A37" s="664">
        <v>10</v>
      </c>
      <c r="B37" s="665">
        <v>160</v>
      </c>
      <c r="C37" s="665"/>
      <c r="D37" s="666">
        <f t="shared" si="36"/>
        <v>160</v>
      </c>
      <c r="E37" s="666">
        <f t="shared" si="37"/>
        <v>296.32</v>
      </c>
      <c r="F37" s="667">
        <f t="shared" si="38"/>
        <v>2.6666666666666665</v>
      </c>
      <c r="G37" s="668">
        <f t="shared" si="38"/>
        <v>4.938666666666666</v>
      </c>
      <c r="H37" s="667">
        <f t="shared" si="39"/>
        <v>3.75</v>
      </c>
      <c r="I37" s="666">
        <f t="shared" si="40"/>
        <v>3</v>
      </c>
      <c r="J37" s="666">
        <f t="shared" si="41"/>
        <v>45</v>
      </c>
      <c r="K37" s="669"/>
      <c r="L37" s="669"/>
      <c r="M37" s="669"/>
      <c r="N37" s="669"/>
    </row>
    <row r="38" spans="1:14" s="666" customFormat="1" ht="18">
      <c r="A38" s="664">
        <v>5</v>
      </c>
      <c r="B38" s="665">
        <v>160</v>
      </c>
      <c r="C38" s="665"/>
      <c r="D38" s="666">
        <f t="shared" si="36"/>
        <v>160</v>
      </c>
      <c r="E38" s="666">
        <f t="shared" si="37"/>
        <v>296.32</v>
      </c>
      <c r="F38" s="667">
        <f t="shared" si="38"/>
        <v>2.6666666666666665</v>
      </c>
      <c r="G38" s="668">
        <f t="shared" si="38"/>
        <v>4.938666666666666</v>
      </c>
      <c r="H38" s="667">
        <f t="shared" si="39"/>
        <v>1.875</v>
      </c>
      <c r="I38" s="666">
        <f t="shared" si="40"/>
        <v>1</v>
      </c>
      <c r="J38" s="666">
        <f t="shared" si="41"/>
        <v>52.5</v>
      </c>
      <c r="K38" s="669"/>
      <c r="L38" s="669"/>
      <c r="M38" s="669"/>
      <c r="N38" s="669"/>
    </row>
    <row r="39" spans="1:14" s="666" customFormat="1" ht="18">
      <c r="A39" s="664">
        <v>5.1</v>
      </c>
      <c r="B39" s="665">
        <v>80</v>
      </c>
      <c r="C39" s="665"/>
      <c r="D39" s="666">
        <f t="shared" si="36"/>
        <v>80</v>
      </c>
      <c r="E39" s="666">
        <f t="shared" si="37"/>
        <v>148.16</v>
      </c>
      <c r="F39" s="667">
        <f t="shared" si="38"/>
        <v>1.3333333333333333</v>
      </c>
      <c r="G39" s="668">
        <f t="shared" si="38"/>
        <v>2.469333333333333</v>
      </c>
      <c r="H39" s="667">
        <f t="shared" si="39"/>
        <v>3.8249999999999997</v>
      </c>
      <c r="I39" s="666">
        <f t="shared" si="40"/>
        <v>3</v>
      </c>
      <c r="J39" s="666">
        <f t="shared" si="41"/>
        <v>49.499999999999986</v>
      </c>
      <c r="K39" s="669"/>
      <c r="L39" s="669"/>
      <c r="M39" s="669"/>
      <c r="N39" s="669"/>
    </row>
    <row r="40" spans="1:14" s="666" customFormat="1" ht="18">
      <c r="A40" s="664">
        <v>1</v>
      </c>
      <c r="B40" s="670">
        <v>40</v>
      </c>
      <c r="C40" s="670"/>
      <c r="D40" s="666">
        <f t="shared" si="36"/>
        <v>40</v>
      </c>
      <c r="E40" s="666">
        <f t="shared" si="37"/>
        <v>74.08</v>
      </c>
      <c r="F40" s="671">
        <f t="shared" si="38"/>
        <v>0.6666666666666666</v>
      </c>
      <c r="G40" s="672">
        <f t="shared" si="38"/>
        <v>1.2346666666666666</v>
      </c>
      <c r="H40" s="666">
        <f t="shared" si="39"/>
        <v>1.5</v>
      </c>
      <c r="I40" s="666">
        <f t="shared" si="40"/>
        <v>1</v>
      </c>
      <c r="J40" s="666">
        <f t="shared" si="41"/>
        <v>30</v>
      </c>
      <c r="K40" s="669"/>
      <c r="L40" s="669"/>
      <c r="M40" s="669"/>
      <c r="N40" s="669"/>
    </row>
    <row r="41" spans="1:14" s="666" customFormat="1" ht="18">
      <c r="A41" s="664">
        <v>2</v>
      </c>
      <c r="B41" s="670">
        <v>80</v>
      </c>
      <c r="C41" s="670"/>
      <c r="D41" s="666">
        <f t="shared" si="36"/>
        <v>80</v>
      </c>
      <c r="E41" s="666">
        <f t="shared" si="37"/>
        <v>148.16</v>
      </c>
      <c r="F41" s="671">
        <f t="shared" si="38"/>
        <v>1.3333333333333333</v>
      </c>
      <c r="G41" s="672">
        <f t="shared" si="38"/>
        <v>2.469333333333333</v>
      </c>
      <c r="H41" s="666">
        <f t="shared" si="39"/>
        <v>1.5</v>
      </c>
      <c r="I41" s="666">
        <f t="shared" si="40"/>
        <v>1</v>
      </c>
      <c r="J41" s="666">
        <f t="shared" si="41"/>
        <v>30</v>
      </c>
      <c r="K41" s="669"/>
      <c r="L41" s="669"/>
      <c r="M41" s="669"/>
      <c r="N41" s="669"/>
    </row>
    <row r="42" spans="1:14" s="666" customFormat="1" ht="18">
      <c r="A42" s="664">
        <v>1</v>
      </c>
      <c r="B42" s="670">
        <v>80</v>
      </c>
      <c r="C42" s="670"/>
      <c r="D42" s="666">
        <f t="shared" si="36"/>
        <v>80</v>
      </c>
      <c r="E42" s="666">
        <f t="shared" si="37"/>
        <v>148.16</v>
      </c>
      <c r="F42" s="671">
        <f t="shared" si="38"/>
        <v>1.3333333333333333</v>
      </c>
      <c r="G42" s="672">
        <f t="shared" si="38"/>
        <v>2.469333333333333</v>
      </c>
      <c r="H42" s="666">
        <f t="shared" si="39"/>
        <v>0.75</v>
      </c>
      <c r="I42" s="666">
        <f t="shared" si="40"/>
        <v>0</v>
      </c>
      <c r="J42" s="666">
        <f t="shared" si="41"/>
        <v>45</v>
      </c>
      <c r="K42" s="669"/>
      <c r="L42" s="669"/>
      <c r="M42" s="669"/>
      <c r="N42" s="669"/>
    </row>
    <row r="43" spans="1:14" s="666" customFormat="1" ht="18">
      <c r="A43" s="664">
        <v>10</v>
      </c>
      <c r="B43" s="670">
        <v>80</v>
      </c>
      <c r="C43" s="670"/>
      <c r="D43" s="666">
        <f t="shared" si="36"/>
        <v>80</v>
      </c>
      <c r="E43" s="666">
        <f t="shared" si="37"/>
        <v>148.16</v>
      </c>
      <c r="F43" s="671">
        <f t="shared" si="38"/>
        <v>1.3333333333333333</v>
      </c>
      <c r="G43" s="672">
        <f t="shared" si="38"/>
        <v>2.469333333333333</v>
      </c>
      <c r="H43" s="666">
        <f t="shared" si="39"/>
        <v>7.5</v>
      </c>
      <c r="I43" s="666">
        <f t="shared" si="40"/>
        <v>7</v>
      </c>
      <c r="J43" s="666">
        <f t="shared" si="41"/>
        <v>30</v>
      </c>
      <c r="K43" s="669"/>
      <c r="L43" s="669"/>
      <c r="M43" s="669"/>
      <c r="N43" s="669"/>
    </row>
    <row r="44" spans="1:14" s="666" customFormat="1" ht="18">
      <c r="A44" s="664">
        <v>100</v>
      </c>
      <c r="B44" s="670">
        <v>400</v>
      </c>
      <c r="C44" s="670"/>
      <c r="D44" s="666">
        <f t="shared" si="36"/>
        <v>400</v>
      </c>
      <c r="E44" s="666">
        <f t="shared" si="37"/>
        <v>740.8000000000001</v>
      </c>
      <c r="F44" s="671">
        <f t="shared" si="38"/>
        <v>6.666666666666667</v>
      </c>
      <c r="G44" s="672">
        <f t="shared" si="38"/>
        <v>12.346666666666668</v>
      </c>
      <c r="H44" s="666">
        <f t="shared" si="39"/>
        <v>15</v>
      </c>
      <c r="I44" s="666">
        <f t="shared" si="40"/>
        <v>15</v>
      </c>
      <c r="J44" s="666">
        <f t="shared" si="41"/>
        <v>0</v>
      </c>
      <c r="K44" s="669"/>
      <c r="L44" s="669"/>
      <c r="M44" s="669"/>
      <c r="N44" s="669"/>
    </row>
    <row r="45" spans="1:14" s="666" customFormat="1" ht="18">
      <c r="A45" s="664">
        <v>100</v>
      </c>
      <c r="B45" s="670">
        <v>800</v>
      </c>
      <c r="C45" s="670"/>
      <c r="D45" s="666">
        <f t="shared" si="36"/>
        <v>800</v>
      </c>
      <c r="E45" s="666">
        <f t="shared" si="37"/>
        <v>1481.6000000000001</v>
      </c>
      <c r="F45" s="671">
        <f t="shared" si="38"/>
        <v>13.333333333333334</v>
      </c>
      <c r="G45" s="672">
        <f t="shared" si="38"/>
        <v>24.693333333333335</v>
      </c>
      <c r="H45" s="666">
        <f t="shared" si="39"/>
        <v>7.5</v>
      </c>
      <c r="I45" s="666">
        <f t="shared" si="40"/>
        <v>7</v>
      </c>
      <c r="J45" s="666">
        <f t="shared" si="41"/>
        <v>30</v>
      </c>
      <c r="K45" s="669"/>
      <c r="L45" s="669"/>
      <c r="M45" s="669"/>
      <c r="N45" s="669"/>
    </row>
    <row r="46" spans="7:11" s="13" customFormat="1" ht="30" customHeight="1">
      <c r="G46" s="25"/>
      <c r="K46" s="13" t="s">
        <v>532</v>
      </c>
    </row>
    <row r="47" spans="1:7" s="13" customFormat="1" ht="15">
      <c r="A47" s="673" t="s">
        <v>533</v>
      </c>
      <c r="G47" s="25"/>
    </row>
    <row r="48" spans="1:7" s="13" customFormat="1" ht="12.75">
      <c r="A48" s="206" t="s">
        <v>534</v>
      </c>
      <c r="G48" s="25"/>
    </row>
    <row r="49" spans="1:7" s="13" customFormat="1" ht="12.75">
      <c r="A49" s="50" t="s">
        <v>535</v>
      </c>
      <c r="G49" s="25"/>
    </row>
    <row r="50" s="13" customFormat="1" ht="12.75">
      <c r="G50" s="25"/>
    </row>
    <row r="51" s="13" customFormat="1" ht="12.75">
      <c r="G51" s="25"/>
    </row>
    <row r="52" s="13" customFormat="1" ht="12.75">
      <c r="G52" s="25"/>
    </row>
    <row r="53" s="13" customFormat="1" ht="12.75">
      <c r="G53" s="25"/>
    </row>
    <row r="54" s="13" customFormat="1" ht="12.75">
      <c r="G54" s="25"/>
    </row>
    <row r="55" s="13" customFormat="1" ht="12.75">
      <c r="G55" s="25"/>
    </row>
    <row r="56" s="13" customFormat="1" ht="12.75">
      <c r="G56" s="25"/>
    </row>
    <row r="57" s="13" customFormat="1" ht="12.75">
      <c r="G57" s="25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26.25">
      <c r="A74" s="674" t="s">
        <v>536</v>
      </c>
    </row>
    <row r="75" ht="18">
      <c r="A75" s="675" t="s">
        <v>537</v>
      </c>
    </row>
    <row r="76" ht="14.25">
      <c r="A76" s="675" t="s">
        <v>538</v>
      </c>
    </row>
    <row r="77" ht="14.25">
      <c r="A77" s="675" t="s">
        <v>539</v>
      </c>
    </row>
    <row r="78" ht="20.25">
      <c r="A78" s="675" t="s">
        <v>540</v>
      </c>
    </row>
    <row r="79" ht="18.75">
      <c r="A79" s="675" t="s">
        <v>541</v>
      </c>
    </row>
    <row r="80" ht="12.75">
      <c r="A80" s="676"/>
    </row>
    <row r="81" ht="12.75">
      <c r="A81" s="677" t="s">
        <v>542</v>
      </c>
    </row>
    <row r="82" ht="12.75">
      <c r="A82" s="677" t="s">
        <v>543</v>
      </c>
    </row>
    <row r="83" ht="12.75">
      <c r="A83" s="677" t="s">
        <v>544</v>
      </c>
    </row>
    <row r="84" ht="14.25">
      <c r="A84" s="676" t="s">
        <v>545</v>
      </c>
    </row>
    <row r="85" ht="12.75">
      <c r="A85" s="677" t="s">
        <v>546</v>
      </c>
    </row>
    <row r="86" ht="12.75">
      <c r="A86" s="677" t="s">
        <v>547</v>
      </c>
    </row>
    <row r="88" spans="1:3" ht="12.75">
      <c r="A88" s="678" t="s">
        <v>548</v>
      </c>
      <c r="B88"/>
      <c r="C88"/>
    </row>
    <row r="89" spans="1:3" ht="12.75">
      <c r="A89" s="678" t="s">
        <v>549</v>
      </c>
      <c r="B89"/>
      <c r="C89"/>
    </row>
    <row r="90" spans="1:4" ht="12.75">
      <c r="A90" s="842" t="s">
        <v>550</v>
      </c>
      <c r="B90" s="679" t="s">
        <v>447</v>
      </c>
      <c r="D90" s="679" t="s">
        <v>447</v>
      </c>
    </row>
    <row r="91" spans="1:5" ht="25.5">
      <c r="A91" s="843"/>
      <c r="B91" s="680" t="s">
        <v>551</v>
      </c>
      <c r="D91" s="680" t="s">
        <v>552</v>
      </c>
      <c r="E91" s="681" t="s">
        <v>450</v>
      </c>
    </row>
    <row r="92" spans="1:5" ht="12.75">
      <c r="A92" s="682">
        <v>0</v>
      </c>
      <c r="B92" s="683">
        <v>1013</v>
      </c>
      <c r="D92" s="684" t="s">
        <v>453</v>
      </c>
      <c r="E92" s="685">
        <f aca="true" t="shared" si="42" ref="E92:E115">1000*B92/0.3048</f>
        <v>3323490.8136482937</v>
      </c>
    </row>
    <row r="93" spans="1:5" ht="12.75">
      <c r="A93" s="682">
        <v>0.5</v>
      </c>
      <c r="B93" s="686">
        <v>955</v>
      </c>
      <c r="D93" s="684" t="s">
        <v>455</v>
      </c>
      <c r="E93" s="685">
        <f t="shared" si="42"/>
        <v>3133202.0997375324</v>
      </c>
    </row>
    <row r="94" spans="1:5" ht="12.75">
      <c r="A94" s="682">
        <v>1</v>
      </c>
      <c r="B94" s="686">
        <v>900</v>
      </c>
      <c r="D94" s="684" t="s">
        <v>457</v>
      </c>
      <c r="E94" s="685">
        <f t="shared" si="42"/>
        <v>2952755.905511811</v>
      </c>
    </row>
    <row r="95" spans="1:5" ht="12.75">
      <c r="A95" s="682">
        <v>1.5</v>
      </c>
      <c r="B95" s="686">
        <v>845</v>
      </c>
      <c r="D95" s="684" t="s">
        <v>458</v>
      </c>
      <c r="E95" s="685">
        <f t="shared" si="42"/>
        <v>2772309.711286089</v>
      </c>
    </row>
    <row r="96" spans="1:5" ht="12.75">
      <c r="A96" s="682">
        <v>2</v>
      </c>
      <c r="B96" s="686">
        <v>794</v>
      </c>
      <c r="D96" s="684" t="s">
        <v>460</v>
      </c>
      <c r="E96" s="685">
        <f t="shared" si="42"/>
        <v>2604986.87664042</v>
      </c>
    </row>
    <row r="97" spans="1:5" ht="12.75">
      <c r="A97" s="682">
        <v>2.5</v>
      </c>
      <c r="B97" s="686">
        <v>746</v>
      </c>
      <c r="D97" s="684" t="s">
        <v>461</v>
      </c>
      <c r="E97" s="685">
        <f t="shared" si="42"/>
        <v>2447506.56167979</v>
      </c>
    </row>
    <row r="98" spans="1:5" ht="12.75">
      <c r="A98" s="682">
        <v>3</v>
      </c>
      <c r="B98" s="686">
        <v>700</v>
      </c>
      <c r="D98" s="684" t="s">
        <v>462</v>
      </c>
      <c r="E98" s="685">
        <f t="shared" si="42"/>
        <v>2296587.926509186</v>
      </c>
    </row>
    <row r="99" spans="1:5" ht="12.75">
      <c r="A99" s="682">
        <v>3.5</v>
      </c>
      <c r="B99" s="686">
        <v>658</v>
      </c>
      <c r="D99" s="684" t="s">
        <v>464</v>
      </c>
      <c r="E99" s="685">
        <f t="shared" si="42"/>
        <v>2158792.650918635</v>
      </c>
    </row>
    <row r="100" spans="1:5" ht="12.75">
      <c r="A100" s="682">
        <v>4</v>
      </c>
      <c r="B100" s="686">
        <v>617</v>
      </c>
      <c r="D100" s="684" t="s">
        <v>465</v>
      </c>
      <c r="E100" s="685">
        <f t="shared" si="42"/>
        <v>2024278.215223097</v>
      </c>
    </row>
    <row r="101" spans="1:5" ht="12.75">
      <c r="A101" s="682">
        <v>5</v>
      </c>
      <c r="B101" s="686">
        <v>541</v>
      </c>
      <c r="D101" s="684" t="s">
        <v>466</v>
      </c>
      <c r="E101" s="685">
        <f t="shared" si="42"/>
        <v>1774934.3832020997</v>
      </c>
    </row>
    <row r="102" spans="1:5" ht="12.75">
      <c r="A102" s="682">
        <v>6</v>
      </c>
      <c r="B102" s="686">
        <v>471</v>
      </c>
      <c r="D102" s="684" t="s">
        <v>467</v>
      </c>
      <c r="E102" s="685">
        <f t="shared" si="42"/>
        <v>1545275.590551181</v>
      </c>
    </row>
    <row r="103" spans="1:5" ht="12.75">
      <c r="A103" s="682">
        <v>7</v>
      </c>
      <c r="B103" s="686">
        <v>411</v>
      </c>
      <c r="D103" s="684" t="s">
        <v>468</v>
      </c>
      <c r="E103" s="685">
        <f t="shared" si="42"/>
        <v>1348425.1968503937</v>
      </c>
    </row>
    <row r="104" spans="1:5" ht="12.75">
      <c r="A104" s="682">
        <v>8</v>
      </c>
      <c r="B104" s="686">
        <v>357</v>
      </c>
      <c r="D104" s="684" t="s">
        <v>470</v>
      </c>
      <c r="E104" s="685">
        <f t="shared" si="42"/>
        <v>1171259.842519685</v>
      </c>
    </row>
    <row r="105" spans="1:5" ht="12.75">
      <c r="A105" s="682">
        <v>9</v>
      </c>
      <c r="B105" s="686">
        <v>331</v>
      </c>
      <c r="D105" s="684" t="s">
        <v>471</v>
      </c>
      <c r="E105" s="685">
        <f t="shared" si="42"/>
        <v>1085958.0052493438</v>
      </c>
    </row>
    <row r="106" spans="1:5" ht="12.75">
      <c r="A106" s="682">
        <v>10</v>
      </c>
      <c r="B106" s="686">
        <v>265</v>
      </c>
      <c r="D106" s="684" t="s">
        <v>472</v>
      </c>
      <c r="E106" s="685">
        <f t="shared" si="42"/>
        <v>869422.5721784777</v>
      </c>
    </row>
    <row r="107" spans="1:5" ht="12.75">
      <c r="A107" s="682">
        <v>11</v>
      </c>
      <c r="B107" s="686">
        <v>227</v>
      </c>
      <c r="D107" s="684" t="s">
        <v>473</v>
      </c>
      <c r="E107" s="685">
        <f t="shared" si="42"/>
        <v>744750.656167979</v>
      </c>
    </row>
    <row r="108" spans="1:5" ht="12.75">
      <c r="A108" s="682">
        <v>12</v>
      </c>
      <c r="B108" s="686">
        <v>194</v>
      </c>
      <c r="D108" s="684" t="s">
        <v>474</v>
      </c>
      <c r="E108" s="685">
        <f t="shared" si="42"/>
        <v>636482.9396325459</v>
      </c>
    </row>
    <row r="109" spans="1:5" ht="12.75">
      <c r="A109" s="687">
        <v>13</v>
      </c>
      <c r="B109" s="688">
        <v>165</v>
      </c>
      <c r="D109" s="689" t="s">
        <v>474</v>
      </c>
      <c r="E109" s="685">
        <f t="shared" si="42"/>
        <v>541338.5826771653</v>
      </c>
    </row>
    <row r="110" spans="1:5" ht="12.75">
      <c r="A110" s="687">
        <v>14</v>
      </c>
      <c r="B110" s="688">
        <v>141</v>
      </c>
      <c r="D110" s="689" t="s">
        <v>473</v>
      </c>
      <c r="E110" s="685">
        <f t="shared" si="42"/>
        <v>462598.4251968504</v>
      </c>
    </row>
    <row r="111" spans="1:5" ht="12.75">
      <c r="A111" s="687">
        <v>15</v>
      </c>
      <c r="B111" s="688">
        <v>119</v>
      </c>
      <c r="D111" s="689" t="s">
        <v>473</v>
      </c>
      <c r="E111" s="685">
        <f t="shared" si="42"/>
        <v>390419.94750656164</v>
      </c>
    </row>
    <row r="112" spans="1:5" ht="12.75">
      <c r="A112" s="687">
        <v>20</v>
      </c>
      <c r="B112" s="688">
        <v>55</v>
      </c>
      <c r="D112" s="689" t="s">
        <v>476</v>
      </c>
      <c r="E112" s="685">
        <f t="shared" si="42"/>
        <v>180446.1942257218</v>
      </c>
    </row>
    <row r="113" spans="1:5" ht="12.75">
      <c r="A113" s="687">
        <v>30</v>
      </c>
      <c r="B113" s="688">
        <v>11</v>
      </c>
      <c r="D113" s="689" t="s">
        <v>470</v>
      </c>
      <c r="E113" s="685">
        <f t="shared" si="42"/>
        <v>36089.238845144355</v>
      </c>
    </row>
    <row r="114" spans="1:5" ht="12.75">
      <c r="A114" s="687">
        <v>40</v>
      </c>
      <c r="B114" s="688">
        <v>3</v>
      </c>
      <c r="D114" s="689" t="s">
        <v>477</v>
      </c>
      <c r="E114" s="685">
        <f t="shared" si="42"/>
        <v>9842.51968503937</v>
      </c>
    </row>
    <row r="115" spans="1:5" ht="38.25">
      <c r="A115" s="687">
        <v>50</v>
      </c>
      <c r="B115" s="688">
        <v>0.9</v>
      </c>
      <c r="C115" s="689" t="s">
        <v>478</v>
      </c>
      <c r="D115" s="689" t="s">
        <v>478</v>
      </c>
      <c r="E115" s="685">
        <f t="shared" si="42"/>
        <v>2952.755905511811</v>
      </c>
    </row>
    <row r="116" spans="1:5" ht="38.25">
      <c r="A116" s="690">
        <v>60</v>
      </c>
      <c r="B116" s="691" t="s">
        <v>553</v>
      </c>
      <c r="C116" s="692" t="s">
        <v>554</v>
      </c>
      <c r="D116" s="692" t="s">
        <v>554</v>
      </c>
      <c r="E116" s="620"/>
    </row>
    <row r="117" spans="1:5" ht="38.25">
      <c r="A117" s="690">
        <v>100</v>
      </c>
      <c r="B117" s="691" t="s">
        <v>555</v>
      </c>
      <c r="C117" s="692" t="s">
        <v>556</v>
      </c>
      <c r="D117" s="692" t="s">
        <v>556</v>
      </c>
      <c r="E117" s="620"/>
    </row>
    <row r="118" spans="1:5" ht="14.25">
      <c r="A118" s="690">
        <v>200</v>
      </c>
      <c r="B118" s="691" t="s">
        <v>557</v>
      </c>
      <c r="C118" s="692"/>
      <c r="D118" s="692"/>
      <c r="E118" s="620"/>
    </row>
    <row r="119" spans="1:5" ht="14.25">
      <c r="A119" s="690">
        <v>300</v>
      </c>
      <c r="B119" s="691" t="s">
        <v>558</v>
      </c>
      <c r="C119" s="692"/>
      <c r="D119" s="692"/>
      <c r="E119" s="620"/>
    </row>
    <row r="120" spans="1:5" ht="14.25">
      <c r="A120" s="690">
        <v>400</v>
      </c>
      <c r="B120" s="691" t="s">
        <v>559</v>
      </c>
      <c r="C120" s="692"/>
      <c r="D120" s="692"/>
      <c r="E120" s="620"/>
    </row>
    <row r="121" spans="1:5" ht="14.25">
      <c r="A121" s="690">
        <v>500</v>
      </c>
      <c r="B121" s="691" t="s">
        <v>560</v>
      </c>
      <c r="C121" s="692"/>
      <c r="D121" s="692"/>
      <c r="E121" s="620"/>
    </row>
  </sheetData>
  <sheetProtection password="CC26" sheet="1"/>
  <mergeCells count="12">
    <mergeCell ref="P17:P20"/>
    <mergeCell ref="A90:A91"/>
    <mergeCell ref="L3:L4"/>
    <mergeCell ref="M3:M4"/>
    <mergeCell ref="N3:N4"/>
    <mergeCell ref="O3:O4"/>
    <mergeCell ref="Q3:Q4"/>
    <mergeCell ref="R3:R4"/>
    <mergeCell ref="S3:S4"/>
    <mergeCell ref="T3:T4"/>
    <mergeCell ref="U3:U4"/>
    <mergeCell ref="V3:V4"/>
  </mergeCells>
  <hyperlinks>
    <hyperlink ref="A84" r:id="rId1" tooltip="Atmosphère" display="http://encyclopedie.snyke.com/articles/atmosphere.html"/>
  </hyperlinks>
  <printOptions/>
  <pageMargins left="0.7" right="0.7" top="0.75" bottom="0.75" header="0.3" footer="0.3"/>
  <pageSetup orientation="portrait" paperSize="9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H23" sqref="H23"/>
    </sheetView>
  </sheetViews>
  <sheetFormatPr defaultColWidth="11.421875" defaultRowHeight="12.75"/>
  <cols>
    <col min="1" max="1" width="6.00390625" style="0" customWidth="1"/>
    <col min="2" max="2" width="7.57421875" style="0" customWidth="1"/>
    <col min="3" max="3" width="8.140625" style="0" customWidth="1"/>
    <col min="4" max="5" width="4.57421875" style="0" bestFit="1" customWidth="1"/>
    <col min="6" max="6" width="8.57421875" style="0" customWidth="1"/>
    <col min="7" max="7" width="8.421875" style="0" customWidth="1"/>
    <col min="8" max="8" width="11.421875" style="768" customWidth="1"/>
    <col min="9" max="9" width="6.00390625" style="0" bestFit="1" customWidth="1"/>
    <col min="10" max="10" width="7.7109375" style="0" customWidth="1"/>
    <col min="11" max="11" width="7.8515625" style="0" customWidth="1"/>
    <col min="12" max="13" width="4.57421875" style="0" bestFit="1" customWidth="1"/>
    <col min="14" max="14" width="9.57421875" style="0" customWidth="1"/>
    <col min="15" max="15" width="8.57421875" style="0" customWidth="1"/>
    <col min="16" max="16" width="17.8515625" style="0" customWidth="1"/>
  </cols>
  <sheetData>
    <row r="1" spans="1:15" ht="12.75">
      <c r="A1" s="754"/>
      <c r="B1" s="755" t="s">
        <v>432</v>
      </c>
      <c r="C1" s="769" t="s">
        <v>443</v>
      </c>
      <c r="D1" s="773" t="s">
        <v>612</v>
      </c>
      <c r="E1" s="756"/>
      <c r="F1" s="756"/>
      <c r="G1" s="778" t="s">
        <v>615</v>
      </c>
      <c r="H1" s="753"/>
      <c r="I1" s="754"/>
      <c r="J1" s="755" t="s">
        <v>432</v>
      </c>
      <c r="K1" s="755" t="s">
        <v>443</v>
      </c>
      <c r="L1" s="773" t="s">
        <v>612</v>
      </c>
      <c r="M1" s="756"/>
      <c r="N1" s="756"/>
      <c r="O1" s="778" t="s">
        <v>615</v>
      </c>
    </row>
    <row r="2" spans="1:15" ht="24" customHeight="1">
      <c r="A2" s="786" t="s">
        <v>572</v>
      </c>
      <c r="B2" s="781" t="s">
        <v>609</v>
      </c>
      <c r="C2" s="782" t="s">
        <v>609</v>
      </c>
      <c r="D2" s="787" t="s">
        <v>432</v>
      </c>
      <c r="E2" s="776" t="s">
        <v>443</v>
      </c>
      <c r="F2" s="785" t="s">
        <v>608</v>
      </c>
      <c r="G2" s="784" t="s">
        <v>614</v>
      </c>
      <c r="H2" s="788"/>
      <c r="I2" s="786" t="s">
        <v>572</v>
      </c>
      <c r="J2" s="781" t="s">
        <v>609</v>
      </c>
      <c r="K2" s="781" t="s">
        <v>609</v>
      </c>
      <c r="L2" s="787" t="s">
        <v>432</v>
      </c>
      <c r="M2" s="776" t="s">
        <v>443</v>
      </c>
      <c r="N2" s="783" t="s">
        <v>608</v>
      </c>
      <c r="O2" s="784" t="s">
        <v>614</v>
      </c>
    </row>
    <row r="3" spans="1:15" ht="12.75">
      <c r="A3" s="771" t="s">
        <v>388</v>
      </c>
      <c r="B3" s="757" t="s">
        <v>610</v>
      </c>
      <c r="C3" s="770" t="s">
        <v>610</v>
      </c>
      <c r="D3" s="259" t="s">
        <v>607</v>
      </c>
      <c r="E3" s="776" t="s">
        <v>607</v>
      </c>
      <c r="F3" s="758" t="s">
        <v>327</v>
      </c>
      <c r="G3" s="780" t="s">
        <v>13</v>
      </c>
      <c r="H3" s="753"/>
      <c r="I3" s="771" t="s">
        <v>388</v>
      </c>
      <c r="J3" s="757" t="s">
        <v>610</v>
      </c>
      <c r="K3" s="757" t="s">
        <v>610</v>
      </c>
      <c r="L3" s="259" t="s">
        <v>607</v>
      </c>
      <c r="M3" s="776" t="s">
        <v>607</v>
      </c>
      <c r="N3" s="772" t="s">
        <v>327</v>
      </c>
      <c r="O3" s="532" t="s">
        <v>13</v>
      </c>
    </row>
    <row r="4" spans="1:15" ht="12.75">
      <c r="A4" s="259"/>
      <c r="B4" s="757"/>
      <c r="C4" s="757"/>
      <c r="D4" s="259"/>
      <c r="E4" s="758"/>
      <c r="F4" s="758"/>
      <c r="G4" s="757"/>
      <c r="H4" s="753"/>
      <c r="I4" s="259"/>
      <c r="J4" s="757"/>
      <c r="K4" s="757"/>
      <c r="L4" s="259"/>
      <c r="M4" s="758"/>
      <c r="N4" s="758"/>
      <c r="O4" s="757"/>
    </row>
    <row r="5" spans="1:15" ht="12.75">
      <c r="A5" s="759">
        <v>36000</v>
      </c>
      <c r="B5" s="333">
        <f aca="true" t="shared" si="0" ref="B5:B13">C5+273</f>
        <v>228</v>
      </c>
      <c r="C5" s="760">
        <v>-45</v>
      </c>
      <c r="D5" s="759">
        <f>D$13-2*A5/1000</f>
        <v>216</v>
      </c>
      <c r="E5" s="774">
        <f aca="true" t="shared" si="1" ref="E5:E13">D5-273</f>
        <v>-57</v>
      </c>
      <c r="F5" s="761">
        <f>B5-D5</f>
        <v>12</v>
      </c>
      <c r="G5" s="779">
        <f>100*B5/D5</f>
        <v>105.55555555555556</v>
      </c>
      <c r="H5" s="753"/>
      <c r="I5" s="759">
        <v>36000</v>
      </c>
      <c r="J5" s="333">
        <f aca="true" t="shared" si="2" ref="J5:J13">K5+273</f>
        <v>228</v>
      </c>
      <c r="K5" s="333">
        <f>M5+N5</f>
        <v>-45</v>
      </c>
      <c r="L5" s="759">
        <f aca="true" t="shared" si="3" ref="L5:L12">L$13-2*I5/1000</f>
        <v>216</v>
      </c>
      <c r="M5" s="774">
        <f aca="true" t="shared" si="4" ref="M5:M13">L5-273</f>
        <v>-57</v>
      </c>
      <c r="N5" s="766">
        <v>12</v>
      </c>
      <c r="O5" s="779">
        <f>100*J5/L5</f>
        <v>105.55555555555556</v>
      </c>
    </row>
    <row r="6" spans="1:15" ht="12.75">
      <c r="A6" s="762">
        <v>30000</v>
      </c>
      <c r="B6" s="333">
        <f t="shared" si="0"/>
        <v>273</v>
      </c>
      <c r="C6" s="760">
        <v>0</v>
      </c>
      <c r="D6" s="759">
        <f>D$13-2*A6/1000</f>
        <v>228</v>
      </c>
      <c r="E6" s="774">
        <f t="shared" si="1"/>
        <v>-45</v>
      </c>
      <c r="F6" s="761">
        <f aca="true" t="shared" si="5" ref="F6:F13">B6-D6</f>
        <v>45</v>
      </c>
      <c r="G6" s="779">
        <f aca="true" t="shared" si="6" ref="G6:G13">100*B6/D6</f>
        <v>119.73684210526316</v>
      </c>
      <c r="H6" s="753"/>
      <c r="I6" s="762">
        <v>30000</v>
      </c>
      <c r="J6" s="333">
        <f t="shared" si="2"/>
        <v>193</v>
      </c>
      <c r="K6" s="333">
        <f aca="true" t="shared" si="7" ref="K6:K13">M6+N6</f>
        <v>-80</v>
      </c>
      <c r="L6" s="759">
        <f t="shared" si="3"/>
        <v>228</v>
      </c>
      <c r="M6" s="774">
        <f t="shared" si="4"/>
        <v>-45</v>
      </c>
      <c r="N6" s="766">
        <v>-35</v>
      </c>
      <c r="O6" s="779">
        <f aca="true" t="shared" si="8" ref="O6:O13">100*J6/L6</f>
        <v>84.64912280701755</v>
      </c>
    </row>
    <row r="7" spans="1:15" ht="12.75">
      <c r="A7" s="762">
        <v>25000</v>
      </c>
      <c r="B7" s="333">
        <f t="shared" si="0"/>
        <v>238</v>
      </c>
      <c r="C7" s="760">
        <v>-35</v>
      </c>
      <c r="D7" s="759">
        <f aca="true" t="shared" si="9" ref="D7:D12">D$13-2*A7/1000</f>
        <v>238</v>
      </c>
      <c r="E7" s="774">
        <f t="shared" si="1"/>
        <v>-35</v>
      </c>
      <c r="F7" s="761">
        <f t="shared" si="5"/>
        <v>0</v>
      </c>
      <c r="G7" s="779">
        <f t="shared" si="6"/>
        <v>100</v>
      </c>
      <c r="H7" s="753"/>
      <c r="I7" s="762">
        <v>25000</v>
      </c>
      <c r="J7" s="333">
        <f t="shared" si="2"/>
        <v>268</v>
      </c>
      <c r="K7" s="333">
        <f t="shared" si="7"/>
        <v>-5</v>
      </c>
      <c r="L7" s="759">
        <f t="shared" si="3"/>
        <v>238</v>
      </c>
      <c r="M7" s="774">
        <f t="shared" si="4"/>
        <v>-35</v>
      </c>
      <c r="N7" s="766">
        <v>30</v>
      </c>
      <c r="O7" s="779">
        <f t="shared" si="8"/>
        <v>112.60504201680672</v>
      </c>
    </row>
    <row r="8" spans="1:15" ht="12.75">
      <c r="A8" s="762">
        <v>20000</v>
      </c>
      <c r="B8" s="333">
        <f t="shared" si="0"/>
        <v>273</v>
      </c>
      <c r="C8" s="760">
        <v>0</v>
      </c>
      <c r="D8" s="759">
        <f t="shared" si="9"/>
        <v>248</v>
      </c>
      <c r="E8" s="774">
        <f t="shared" si="1"/>
        <v>-25</v>
      </c>
      <c r="F8" s="761">
        <f t="shared" si="5"/>
        <v>25</v>
      </c>
      <c r="G8" s="779">
        <f t="shared" si="6"/>
        <v>110.08064516129032</v>
      </c>
      <c r="H8" s="753"/>
      <c r="I8" s="762">
        <v>20000</v>
      </c>
      <c r="J8" s="333">
        <f t="shared" si="2"/>
        <v>268</v>
      </c>
      <c r="K8" s="333">
        <f t="shared" si="7"/>
        <v>-5</v>
      </c>
      <c r="L8" s="759">
        <f t="shared" si="3"/>
        <v>248</v>
      </c>
      <c r="M8" s="774">
        <f t="shared" si="4"/>
        <v>-25</v>
      </c>
      <c r="N8" s="766">
        <v>20</v>
      </c>
      <c r="O8" s="779">
        <f t="shared" si="8"/>
        <v>108.06451612903226</v>
      </c>
    </row>
    <row r="9" spans="1:15" ht="12.75">
      <c r="A9" s="762">
        <v>15000</v>
      </c>
      <c r="B9" s="333">
        <f t="shared" si="0"/>
        <v>300</v>
      </c>
      <c r="C9" s="760">
        <v>27</v>
      </c>
      <c r="D9" s="759">
        <f t="shared" si="9"/>
        <v>258</v>
      </c>
      <c r="E9" s="774">
        <f t="shared" si="1"/>
        <v>-15</v>
      </c>
      <c r="F9" s="761">
        <f t="shared" si="5"/>
        <v>42</v>
      </c>
      <c r="G9" s="779">
        <f t="shared" si="6"/>
        <v>116.27906976744185</v>
      </c>
      <c r="H9" s="753"/>
      <c r="I9" s="762">
        <v>15000</v>
      </c>
      <c r="J9" s="333">
        <f t="shared" si="2"/>
        <v>253</v>
      </c>
      <c r="K9" s="333">
        <f t="shared" si="7"/>
        <v>-20</v>
      </c>
      <c r="L9" s="759">
        <f t="shared" si="3"/>
        <v>258</v>
      </c>
      <c r="M9" s="774">
        <f t="shared" si="4"/>
        <v>-15</v>
      </c>
      <c r="N9" s="766">
        <v>-5</v>
      </c>
      <c r="O9" s="779">
        <f t="shared" si="8"/>
        <v>98.06201550387597</v>
      </c>
    </row>
    <row r="10" spans="1:15" ht="12.75">
      <c r="A10" s="762">
        <v>10000</v>
      </c>
      <c r="B10" s="333">
        <f t="shared" si="0"/>
        <v>278</v>
      </c>
      <c r="C10" s="760">
        <v>5</v>
      </c>
      <c r="D10" s="759">
        <f t="shared" si="9"/>
        <v>268</v>
      </c>
      <c r="E10" s="774">
        <f t="shared" si="1"/>
        <v>-5</v>
      </c>
      <c r="F10" s="761">
        <f t="shared" si="5"/>
        <v>10</v>
      </c>
      <c r="G10" s="779">
        <f t="shared" si="6"/>
        <v>103.73134328358209</v>
      </c>
      <c r="H10" s="753"/>
      <c r="I10" s="762">
        <v>10000</v>
      </c>
      <c r="J10" s="333">
        <f t="shared" si="2"/>
        <v>278</v>
      </c>
      <c r="K10" s="333">
        <f t="shared" si="7"/>
        <v>5</v>
      </c>
      <c r="L10" s="759">
        <f t="shared" si="3"/>
        <v>268</v>
      </c>
      <c r="M10" s="774">
        <f t="shared" si="4"/>
        <v>-5</v>
      </c>
      <c r="N10" s="766">
        <v>10</v>
      </c>
      <c r="O10" s="779">
        <f t="shared" si="8"/>
        <v>103.73134328358209</v>
      </c>
    </row>
    <row r="11" spans="1:15" ht="12.75">
      <c r="A11" s="762">
        <v>5000</v>
      </c>
      <c r="B11" s="333">
        <f t="shared" si="0"/>
        <v>238</v>
      </c>
      <c r="C11" s="760">
        <v>-35</v>
      </c>
      <c r="D11" s="759">
        <f t="shared" si="9"/>
        <v>278</v>
      </c>
      <c r="E11" s="774">
        <f t="shared" si="1"/>
        <v>5</v>
      </c>
      <c r="F11" s="761">
        <f t="shared" si="5"/>
        <v>-40</v>
      </c>
      <c r="G11" s="779">
        <f t="shared" si="6"/>
        <v>85.61151079136691</v>
      </c>
      <c r="H11" s="753"/>
      <c r="I11" s="762">
        <v>5000</v>
      </c>
      <c r="J11" s="333">
        <f t="shared" si="2"/>
        <v>273</v>
      </c>
      <c r="K11" s="333">
        <f t="shared" si="7"/>
        <v>0</v>
      </c>
      <c r="L11" s="759">
        <f t="shared" si="3"/>
        <v>278</v>
      </c>
      <c r="M11" s="774">
        <f t="shared" si="4"/>
        <v>5</v>
      </c>
      <c r="N11" s="766">
        <v>-5</v>
      </c>
      <c r="O11" s="779">
        <f t="shared" si="8"/>
        <v>98.20143884892086</v>
      </c>
    </row>
    <row r="12" spans="1:15" ht="12.75">
      <c r="A12" s="762">
        <v>2000</v>
      </c>
      <c r="B12" s="333">
        <f t="shared" si="0"/>
        <v>275</v>
      </c>
      <c r="C12" s="760">
        <v>2</v>
      </c>
      <c r="D12" s="759">
        <f t="shared" si="9"/>
        <v>284</v>
      </c>
      <c r="E12" s="774">
        <f t="shared" si="1"/>
        <v>11</v>
      </c>
      <c r="F12" s="761">
        <f t="shared" si="5"/>
        <v>-9</v>
      </c>
      <c r="G12" s="779">
        <f t="shared" si="6"/>
        <v>96.83098591549296</v>
      </c>
      <c r="H12" s="753"/>
      <c r="I12" s="762">
        <v>2000</v>
      </c>
      <c r="J12" s="333">
        <f t="shared" si="2"/>
        <v>284</v>
      </c>
      <c r="K12" s="333">
        <f t="shared" si="7"/>
        <v>11</v>
      </c>
      <c r="L12" s="759">
        <f t="shared" si="3"/>
        <v>284</v>
      </c>
      <c r="M12" s="774">
        <f t="shared" si="4"/>
        <v>11</v>
      </c>
      <c r="N12" s="766">
        <v>0</v>
      </c>
      <c r="O12" s="779">
        <f t="shared" si="8"/>
        <v>100</v>
      </c>
    </row>
    <row r="13" spans="1:16" ht="13.5" thickBot="1">
      <c r="A13" s="763">
        <v>0</v>
      </c>
      <c r="B13" s="415">
        <f t="shared" si="0"/>
        <v>285</v>
      </c>
      <c r="C13" s="764">
        <v>12</v>
      </c>
      <c r="D13" s="763">
        <v>288</v>
      </c>
      <c r="E13" s="775">
        <f t="shared" si="1"/>
        <v>15</v>
      </c>
      <c r="F13" s="765">
        <f t="shared" si="5"/>
        <v>-3</v>
      </c>
      <c r="G13" s="779">
        <f t="shared" si="6"/>
        <v>98.95833333333333</v>
      </c>
      <c r="H13" s="753"/>
      <c r="I13" s="763">
        <v>0</v>
      </c>
      <c r="J13" s="415">
        <f t="shared" si="2"/>
        <v>298</v>
      </c>
      <c r="K13" s="333">
        <f t="shared" si="7"/>
        <v>25</v>
      </c>
      <c r="L13" s="763">
        <v>288</v>
      </c>
      <c r="M13" s="775">
        <f t="shared" si="4"/>
        <v>15</v>
      </c>
      <c r="N13" s="767">
        <v>10</v>
      </c>
      <c r="O13" s="779">
        <f t="shared" si="8"/>
        <v>103.47222222222223</v>
      </c>
      <c r="P13" s="777" t="s">
        <v>613</v>
      </c>
    </row>
    <row r="16" spans="2:7" ht="15.75">
      <c r="B16" s="75" t="s">
        <v>111</v>
      </c>
      <c r="C16" s="752"/>
      <c r="D16" s="752"/>
      <c r="E16" s="752"/>
      <c r="F16" s="752"/>
      <c r="G16" s="752"/>
    </row>
    <row r="17" ht="12.75">
      <c r="B17" s="250" t="s">
        <v>611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X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8.00390625" style="0" customWidth="1"/>
    <col min="3" max="3" width="7.8515625" style="0" customWidth="1"/>
    <col min="4" max="4" width="7.57421875" style="0" customWidth="1"/>
    <col min="5" max="6" width="8.7109375" style="0" customWidth="1"/>
    <col min="7" max="7" width="8.421875" style="0" customWidth="1"/>
    <col min="8" max="8" width="10.140625" style="0" customWidth="1"/>
    <col min="9" max="9" width="7.7109375" style="0" customWidth="1"/>
    <col min="10" max="10" width="8.421875" style="0" customWidth="1"/>
    <col min="11" max="11" width="5.421875" style="0" customWidth="1"/>
    <col min="12" max="12" width="8.8515625" style="0" customWidth="1"/>
    <col min="13" max="13" width="13.8515625" style="0" customWidth="1"/>
    <col min="14" max="14" width="9.28125" style="0" customWidth="1"/>
    <col min="15" max="16" width="8.8515625" style="0" customWidth="1"/>
    <col min="17" max="17" width="9.140625" style="0" customWidth="1"/>
    <col min="18" max="18" width="9.00390625" style="0" customWidth="1"/>
    <col min="19" max="19" width="9.421875" style="0" customWidth="1"/>
    <col min="20" max="20" width="8.8515625" style="0" customWidth="1"/>
    <col min="21" max="22" width="9.00390625" style="0" customWidth="1"/>
    <col min="23" max="24" width="8.8515625" style="0" customWidth="1"/>
  </cols>
  <sheetData>
    <row r="1" spans="1:10" ht="12.75">
      <c r="A1" s="50"/>
      <c r="B1" s="50" t="s">
        <v>86</v>
      </c>
      <c r="C1" s="50"/>
      <c r="D1" s="50"/>
      <c r="E1" s="50"/>
      <c r="F1" s="50"/>
      <c r="G1" s="50" t="s">
        <v>87</v>
      </c>
      <c r="H1" s="50" t="s">
        <v>88</v>
      </c>
      <c r="I1" s="50"/>
      <c r="J1" s="50"/>
    </row>
    <row r="2" spans="1:14" ht="31.5" customHeight="1">
      <c r="A2" s="61"/>
      <c r="B2" s="62" t="s">
        <v>89</v>
      </c>
      <c r="C2" s="62" t="s">
        <v>90</v>
      </c>
      <c r="D2" s="62"/>
      <c r="E2" s="62" t="s">
        <v>91</v>
      </c>
      <c r="F2" s="62" t="s">
        <v>92</v>
      </c>
      <c r="G2" s="62" t="s">
        <v>93</v>
      </c>
      <c r="H2" s="62" t="s">
        <v>94</v>
      </c>
      <c r="I2" s="62" t="s">
        <v>95</v>
      </c>
      <c r="J2" s="62" t="s">
        <v>96</v>
      </c>
      <c r="L2" s="63" t="s">
        <v>97</v>
      </c>
      <c r="M2" s="63" t="s">
        <v>98</v>
      </c>
      <c r="N2" s="64" t="s">
        <v>99</v>
      </c>
    </row>
    <row r="3" spans="1:14" ht="12.75">
      <c r="A3" s="65" t="s">
        <v>100</v>
      </c>
      <c r="B3" s="66">
        <v>9.80665</v>
      </c>
      <c r="C3" s="67">
        <v>1013.25</v>
      </c>
      <c r="D3" s="66"/>
      <c r="E3" s="67">
        <v>288.15</v>
      </c>
      <c r="F3" s="66">
        <v>1.402</v>
      </c>
      <c r="G3" s="66">
        <f>8.31447</f>
        <v>8.31447</v>
      </c>
      <c r="H3" s="66">
        <f>28.9644/1000</f>
        <v>0.0289644</v>
      </c>
      <c r="I3" s="66">
        <v>1.2255</v>
      </c>
      <c r="J3" s="66">
        <f>340.3</f>
        <v>340.3</v>
      </c>
      <c r="L3">
        <f>F3/(F3-1)</f>
        <v>3.487562189054727</v>
      </c>
      <c r="M3">
        <f>H3*B3/G3</f>
        <v>0.03416257840367456</v>
      </c>
      <c r="N3">
        <f>-2</f>
        <v>-2</v>
      </c>
    </row>
    <row r="4" spans="1:10" ht="12.75">
      <c r="A4" s="68" t="s">
        <v>101</v>
      </c>
      <c r="B4" s="69" t="s">
        <v>102</v>
      </c>
      <c r="C4" s="70"/>
      <c r="D4" s="70"/>
      <c r="E4" s="70"/>
      <c r="F4" s="71" t="s">
        <v>103</v>
      </c>
      <c r="G4" s="71" t="s">
        <v>104</v>
      </c>
      <c r="H4" s="50" t="s">
        <v>105</v>
      </c>
      <c r="I4" s="50"/>
      <c r="J4" s="50"/>
    </row>
    <row r="5" spans="1:14" ht="14.25" customHeight="1">
      <c r="A5" s="72">
        <v>6368</v>
      </c>
      <c r="B5" s="73" t="s">
        <v>106</v>
      </c>
      <c r="C5" s="73" t="s">
        <v>107</v>
      </c>
      <c r="D5" s="73"/>
      <c r="E5" s="73" t="s">
        <v>108</v>
      </c>
      <c r="F5" s="73" t="s">
        <v>109</v>
      </c>
      <c r="G5" s="73" t="s">
        <v>110</v>
      </c>
      <c r="H5" s="74"/>
      <c r="I5" s="74"/>
      <c r="J5" s="75" t="s">
        <v>111</v>
      </c>
      <c r="K5" s="34"/>
      <c r="L5" s="34"/>
      <c r="M5" s="34"/>
      <c r="N5" s="34"/>
    </row>
    <row r="6" spans="1:10" ht="10.5" customHeight="1">
      <c r="A6" s="74">
        <f>2*PI()*A5/(360*60)</f>
        <v>1.8523761127833152</v>
      </c>
      <c r="B6" s="76">
        <f>1/1852</f>
        <v>0.0005399568034557236</v>
      </c>
      <c r="C6" s="76">
        <v>1852</v>
      </c>
      <c r="D6" s="73"/>
      <c r="E6" s="76">
        <v>0.3048</v>
      </c>
      <c r="F6" s="73">
        <v>0.06894</v>
      </c>
      <c r="G6" s="76">
        <v>1.33322</v>
      </c>
      <c r="H6" s="74"/>
      <c r="I6" s="74"/>
      <c r="J6" s="74"/>
    </row>
    <row r="7" spans="1:24" s="39" customFormat="1" ht="9" customHeight="1">
      <c r="A7" s="61"/>
      <c r="B7" s="71" t="s">
        <v>112</v>
      </c>
      <c r="C7" s="77" t="s">
        <v>2</v>
      </c>
      <c r="D7" s="77"/>
      <c r="E7" s="77" t="s">
        <v>2</v>
      </c>
      <c r="F7" s="77" t="s">
        <v>113</v>
      </c>
      <c r="G7" s="77" t="s">
        <v>114</v>
      </c>
      <c r="H7" s="61"/>
      <c r="I7" s="78"/>
      <c r="J7" s="61"/>
      <c r="N7" s="42" t="s">
        <v>115</v>
      </c>
      <c r="O7" s="42" t="s">
        <v>115</v>
      </c>
      <c r="P7" s="42" t="s">
        <v>115</v>
      </c>
      <c r="Q7" s="42" t="s">
        <v>115</v>
      </c>
      <c r="R7" s="42" t="s">
        <v>115</v>
      </c>
      <c r="S7" s="42" t="s">
        <v>115</v>
      </c>
      <c r="T7" s="42" t="s">
        <v>115</v>
      </c>
      <c r="U7" s="42" t="s">
        <v>115</v>
      </c>
      <c r="V7" s="42" t="s">
        <v>115</v>
      </c>
      <c r="W7" s="42" t="s">
        <v>115</v>
      </c>
      <c r="X7" s="42" t="s">
        <v>115</v>
      </c>
    </row>
    <row r="8" s="79" customFormat="1" ht="4.5" customHeight="1"/>
    <row r="9" spans="8:24" s="39" customFormat="1" ht="25.5">
      <c r="H9" s="39" t="s">
        <v>116</v>
      </c>
      <c r="J9" s="39">
        <v>1013</v>
      </c>
      <c r="L9" s="80" t="s">
        <v>117</v>
      </c>
      <c r="M9" s="40" t="s">
        <v>115</v>
      </c>
      <c r="N9" s="81" t="s">
        <v>118</v>
      </c>
      <c r="O9" s="80" t="s">
        <v>119</v>
      </c>
      <c r="P9" s="80" t="s">
        <v>120</v>
      </c>
      <c r="Q9" s="82" t="s">
        <v>121</v>
      </c>
      <c r="R9" s="83" t="s">
        <v>122</v>
      </c>
      <c r="S9" s="83" t="s">
        <v>122</v>
      </c>
      <c r="T9" s="83" t="s">
        <v>122</v>
      </c>
      <c r="U9" s="83" t="s">
        <v>122</v>
      </c>
      <c r="V9" s="83" t="s">
        <v>122</v>
      </c>
      <c r="W9" s="83" t="s">
        <v>122</v>
      </c>
      <c r="X9" s="83" t="s">
        <v>122</v>
      </c>
    </row>
    <row r="10" spans="1:24" ht="12.75">
      <c r="A10" s="84" t="s">
        <v>117</v>
      </c>
      <c r="E10" s="19" t="s">
        <v>123</v>
      </c>
      <c r="F10" t="s">
        <v>124</v>
      </c>
      <c r="G10" t="s">
        <v>125</v>
      </c>
      <c r="H10" s="85" t="s">
        <v>126</v>
      </c>
      <c r="I10" t="s">
        <v>127</v>
      </c>
      <c r="J10" s="85" t="s">
        <v>128</v>
      </c>
      <c r="K10" s="812" t="s">
        <v>129</v>
      </c>
      <c r="L10" s="64" t="s">
        <v>130</v>
      </c>
      <c r="N10" s="86">
        <f>$C$3</f>
        <v>1013.25</v>
      </c>
      <c r="O10" s="64">
        <f>B11</f>
        <v>980</v>
      </c>
      <c r="P10" s="64">
        <f>L14</f>
        <v>963.5785263624498</v>
      </c>
      <c r="Q10" s="64">
        <f>L15</f>
        <v>947.870406461772</v>
      </c>
      <c r="R10" s="11">
        <v>834</v>
      </c>
      <c r="S10" s="11">
        <v>1020</v>
      </c>
      <c r="T10" s="11">
        <v>1013</v>
      </c>
      <c r="U10" s="11">
        <v>1000</v>
      </c>
      <c r="V10" s="11">
        <v>990</v>
      </c>
      <c r="W10" s="11">
        <v>985</v>
      </c>
      <c r="X10" s="11">
        <v>970</v>
      </c>
    </row>
    <row r="11" spans="1:24" ht="12.75">
      <c r="A11" s="34" t="s">
        <v>131</v>
      </c>
      <c r="B11" s="11">
        <v>980</v>
      </c>
      <c r="C11" s="87" t="s">
        <v>132</v>
      </c>
      <c r="H11" s="85"/>
      <c r="J11" s="85"/>
      <c r="K11" s="812"/>
      <c r="L11" s="64"/>
      <c r="M11" s="88" t="s">
        <v>133</v>
      </c>
      <c r="N11" s="89" t="s">
        <v>134</v>
      </c>
      <c r="O11" s="90" t="s">
        <v>135</v>
      </c>
      <c r="P11" s="90" t="s">
        <v>136</v>
      </c>
      <c r="Q11" s="91" t="s">
        <v>136</v>
      </c>
      <c r="R11" t="s">
        <v>137</v>
      </c>
      <c r="S11" t="s">
        <v>137</v>
      </c>
      <c r="T11" t="s">
        <v>137</v>
      </c>
      <c r="U11" t="s">
        <v>137</v>
      </c>
      <c r="V11" t="s">
        <v>137</v>
      </c>
      <c r="W11" t="s">
        <v>137</v>
      </c>
      <c r="X11" t="s">
        <v>137</v>
      </c>
    </row>
    <row r="12" spans="1:24" ht="15.75">
      <c r="A12" s="34" t="s">
        <v>138</v>
      </c>
      <c r="B12" s="11">
        <v>0</v>
      </c>
      <c r="D12" t="s">
        <v>139</v>
      </c>
      <c r="E12" s="11">
        <v>-470</v>
      </c>
      <c r="F12" s="92">
        <f>E12*$E$6</f>
        <v>-143.256</v>
      </c>
      <c r="G12" s="92">
        <f aca="true" t="shared" si="0" ref="G12:G18">H12+15-$E$3</f>
        <v>15.939999999999998</v>
      </c>
      <c r="H12" s="93">
        <f>$E$3+$N$3*$E12/1000</f>
        <v>289.09</v>
      </c>
      <c r="I12" s="92">
        <f>H12-$B$12</f>
        <v>289.09</v>
      </c>
      <c r="J12" s="94">
        <f aca="true" t="shared" si="1" ref="J12:J18">$C$3*POWER(-0.933*$F12*$M$3/($E$3*$L$3)+1,$L$3)</f>
        <v>1029.39715505768</v>
      </c>
      <c r="K12" s="95">
        <f>$B$11*POWER(-0.933*$F12*$M$3/($E$3*$L$3)+1,$L$3)</f>
        <v>995.6172829573417</v>
      </c>
      <c r="L12" s="96">
        <f>$B$11*POWER(-0.933*$F12*$M$3/($B$13*$L$3)+1,$L$3)</f>
        <v>995.6172829573417</v>
      </c>
      <c r="N12" s="97">
        <f aca="true" t="shared" si="2" ref="N12:O18">-(1/$E$6)*$E$3*$L$3*(1/(0.933*$M$3))*(POWER($L12/N$10,1/$L$3)-1)</f>
        <v>519.3832297467134</v>
      </c>
      <c r="O12" s="97">
        <f>-(1/$E$6)*$E$3*$L$3*(1/(0.933*$M$3))*(POWER($L12/O$10,1/$L$3)-1)</f>
        <v>-469.999999999991</v>
      </c>
      <c r="P12" s="97">
        <f aca="true" t="shared" si="3" ref="P12:X18">-(1/$E$6)*$E$3*$L$3*(1/(0.933*$M$3))*(POWER($L12/P$10,1/$L$3)-1)</f>
        <v>-974.7114298211294</v>
      </c>
      <c r="Q12" s="97">
        <f t="shared" si="3"/>
        <v>-1467.964237846286</v>
      </c>
      <c r="R12" s="97">
        <f t="shared" si="3"/>
        <v>-5389.36616078592</v>
      </c>
      <c r="S12" s="97">
        <f t="shared" si="3"/>
        <v>715.1398738160132</v>
      </c>
      <c r="T12" s="97">
        <f t="shared" si="3"/>
        <v>512.1007780677259</v>
      </c>
      <c r="U12" s="97">
        <f t="shared" si="3"/>
        <v>130.19514586799312</v>
      </c>
      <c r="V12" s="97">
        <f t="shared" si="3"/>
        <v>-167.95217011072376</v>
      </c>
      <c r="W12" s="97">
        <f t="shared" si="3"/>
        <v>-318.48286634538505</v>
      </c>
      <c r="X12" s="97">
        <f t="shared" si="3"/>
        <v>-776.0399617637468</v>
      </c>
    </row>
    <row r="13" spans="1:24" ht="15.75">
      <c r="A13" t="s">
        <v>140</v>
      </c>
      <c r="B13">
        <f>B12+$E$3</f>
        <v>288.15</v>
      </c>
      <c r="C13" s="87" t="s">
        <v>141</v>
      </c>
      <c r="D13" s="98" t="s">
        <v>142</v>
      </c>
      <c r="E13" s="98">
        <v>0</v>
      </c>
      <c r="F13" s="99">
        <f aca="true" t="shared" si="4" ref="F13:F18">E13*$E$6</f>
        <v>0</v>
      </c>
      <c r="G13" s="99">
        <f t="shared" si="0"/>
        <v>15</v>
      </c>
      <c r="H13" s="99">
        <f aca="true" t="shared" si="5" ref="H13:H18">$E$3+$N$3*$E13/1000</f>
        <v>288.15</v>
      </c>
      <c r="I13" s="99">
        <f aca="true" t="shared" si="6" ref="I13:I18">H13-$B$12</f>
        <v>288.15</v>
      </c>
      <c r="J13" s="100">
        <f t="shared" si="1"/>
        <v>1013.25</v>
      </c>
      <c r="K13" s="101">
        <f aca="true" t="shared" si="7" ref="K13:K18">$B$11*POWER(-0.933*$F13*$M$3/($E$3*$L$3)+1,$L$3)</f>
        <v>980</v>
      </c>
      <c r="L13" s="100">
        <f aca="true" t="shared" si="8" ref="L13:L18">$B$11*POWER(-0.933*$F13*$M$3/($B$13*$L$3)+1,$L$3)</f>
        <v>980</v>
      </c>
      <c r="M13" s="98"/>
      <c r="N13" s="102">
        <f t="shared" si="2"/>
        <v>984.9081553998667</v>
      </c>
      <c r="O13" s="102">
        <f t="shared" si="2"/>
        <v>0</v>
      </c>
      <c r="P13" s="102">
        <f t="shared" si="3"/>
        <v>-502.42857207274545</v>
      </c>
      <c r="Q13" s="102">
        <f t="shared" si="3"/>
        <v>-993.4503507845665</v>
      </c>
      <c r="R13" s="102">
        <f t="shared" si="3"/>
        <v>-4897.115400264657</v>
      </c>
      <c r="S13" s="102">
        <f t="shared" si="3"/>
        <v>1179.7793735697169</v>
      </c>
      <c r="T13" s="102">
        <f t="shared" si="3"/>
        <v>977.6586429417076</v>
      </c>
      <c r="U13" s="102">
        <f t="shared" si="3"/>
        <v>597.4804062002579</v>
      </c>
      <c r="V13" s="102">
        <f t="shared" si="3"/>
        <v>300.68163885789886</v>
      </c>
      <c r="W13" s="102">
        <f t="shared" si="3"/>
        <v>150.83180726383344</v>
      </c>
      <c r="X13" s="102">
        <f t="shared" si="3"/>
        <v>-304.65571394065137</v>
      </c>
    </row>
    <row r="14" spans="1:24" ht="15.75">
      <c r="A14" t="s">
        <v>143</v>
      </c>
      <c r="B14" s="85">
        <f>$C$3</f>
        <v>1013.25</v>
      </c>
      <c r="D14" s="84" t="s">
        <v>144</v>
      </c>
      <c r="E14" s="11">
        <v>500</v>
      </c>
      <c r="F14" s="92">
        <f t="shared" si="4"/>
        <v>152.4</v>
      </c>
      <c r="G14" s="92">
        <f t="shared" si="0"/>
        <v>14</v>
      </c>
      <c r="H14" s="93">
        <f t="shared" si="5"/>
        <v>287.15</v>
      </c>
      <c r="I14" s="92">
        <f t="shared" si="6"/>
        <v>287.15</v>
      </c>
      <c r="J14" s="94">
        <f t="shared" si="1"/>
        <v>996.2713692211757</v>
      </c>
      <c r="K14" s="95">
        <f t="shared" si="7"/>
        <v>963.5785263624498</v>
      </c>
      <c r="L14" s="103">
        <f t="shared" si="8"/>
        <v>963.5785263624498</v>
      </c>
      <c r="M14" s="84" t="s">
        <v>120</v>
      </c>
      <c r="N14" s="97">
        <f t="shared" si="2"/>
        <v>1480.1474380096154</v>
      </c>
      <c r="O14" s="97">
        <f t="shared" si="2"/>
        <v>500.00000000000097</v>
      </c>
      <c r="P14" s="97">
        <f t="shared" si="3"/>
        <v>0</v>
      </c>
      <c r="Q14" s="97">
        <f t="shared" si="3"/>
        <v>-488.64834327207825</v>
      </c>
      <c r="R14" s="97">
        <f t="shared" si="3"/>
        <v>-4373.444378433525</v>
      </c>
      <c r="S14" s="97">
        <f t="shared" si="3"/>
        <v>1674.0767137332305</v>
      </c>
      <c r="T14" s="97">
        <f t="shared" si="3"/>
        <v>1472.9329672757385</v>
      </c>
      <c r="U14" s="97">
        <f t="shared" si="3"/>
        <v>1094.5923852771489</v>
      </c>
      <c r="V14" s="97">
        <f t="shared" si="3"/>
        <v>799.2282441436926</v>
      </c>
      <c r="W14" s="97">
        <f t="shared" si="3"/>
        <v>650.1027366353603</v>
      </c>
      <c r="X14" s="97">
        <f t="shared" si="3"/>
        <v>196.81689012648945</v>
      </c>
    </row>
    <row r="15" spans="4:24" ht="15.75">
      <c r="D15" s="104" t="s">
        <v>145</v>
      </c>
      <c r="E15" s="11">
        <v>984</v>
      </c>
      <c r="F15" s="92">
        <f t="shared" si="4"/>
        <v>299.9232</v>
      </c>
      <c r="G15" s="92">
        <f t="shared" si="0"/>
        <v>13.031999999999982</v>
      </c>
      <c r="H15" s="93">
        <f t="shared" si="5"/>
        <v>286.18199999999996</v>
      </c>
      <c r="I15" s="92">
        <f t="shared" si="6"/>
        <v>286.18199999999996</v>
      </c>
      <c r="J15" s="94">
        <f t="shared" si="1"/>
        <v>980.0302952524391</v>
      </c>
      <c r="K15" s="95">
        <f t="shared" si="7"/>
        <v>947.870406461772</v>
      </c>
      <c r="L15" s="105">
        <f t="shared" si="8"/>
        <v>947.870406461772</v>
      </c>
      <c r="M15" s="104" t="s">
        <v>121</v>
      </c>
      <c r="N15" s="97">
        <f t="shared" si="2"/>
        <v>1959.5390635758397</v>
      </c>
      <c r="O15" s="97">
        <f t="shared" si="2"/>
        <v>983.9999999999951</v>
      </c>
      <c r="P15" s="97">
        <f t="shared" si="3"/>
        <v>486.35085776642006</v>
      </c>
      <c r="Q15" s="97">
        <f t="shared" si="3"/>
        <v>0</v>
      </c>
      <c r="R15" s="97">
        <f t="shared" si="3"/>
        <v>-3866.530829300982</v>
      </c>
      <c r="S15" s="97">
        <f t="shared" si="3"/>
        <v>2152.556539011523</v>
      </c>
      <c r="T15" s="97">
        <f t="shared" si="3"/>
        <v>1952.3585132310782</v>
      </c>
      <c r="U15" s="97">
        <f t="shared" si="3"/>
        <v>1575.7967810235755</v>
      </c>
      <c r="V15" s="97">
        <f t="shared" si="3"/>
        <v>1281.8213580603328</v>
      </c>
      <c r="W15" s="97">
        <f t="shared" si="3"/>
        <v>1133.3969962669994</v>
      </c>
      <c r="X15" s="97">
        <f t="shared" si="3"/>
        <v>682.2423708634719</v>
      </c>
    </row>
    <row r="16" spans="4:24" ht="15.75">
      <c r="D16" t="s">
        <v>146</v>
      </c>
      <c r="E16" s="11">
        <v>5000</v>
      </c>
      <c r="F16" s="92">
        <f t="shared" si="4"/>
        <v>1524</v>
      </c>
      <c r="G16" s="92">
        <f t="shared" si="0"/>
        <v>5</v>
      </c>
      <c r="H16" s="93">
        <f t="shared" si="5"/>
        <v>278.15</v>
      </c>
      <c r="I16" s="92">
        <f t="shared" si="6"/>
        <v>278.15</v>
      </c>
      <c r="J16" s="94">
        <f t="shared" si="1"/>
        <v>852.4637424309789</v>
      </c>
      <c r="K16" s="95">
        <f t="shared" si="7"/>
        <v>824.4899754082007</v>
      </c>
      <c r="L16" s="96">
        <f t="shared" si="8"/>
        <v>824.4899754082007</v>
      </c>
      <c r="N16" s="97">
        <f t="shared" si="2"/>
        <v>5937.300981497297</v>
      </c>
      <c r="O16" s="97">
        <f t="shared" si="2"/>
        <v>4999.999999999998</v>
      </c>
      <c r="P16" s="97">
        <f t="shared" si="3"/>
        <v>4521.857148654755</v>
      </c>
      <c r="Q16" s="97">
        <f t="shared" si="3"/>
        <v>4054.5697243402806</v>
      </c>
      <c r="R16" s="97">
        <f t="shared" si="3"/>
        <v>339.59481804673766</v>
      </c>
      <c r="S16" s="97">
        <f t="shared" si="3"/>
        <v>6122.752775204911</v>
      </c>
      <c r="T16" s="97">
        <f t="shared" si="3"/>
        <v>5930.401886282006</v>
      </c>
      <c r="U16" s="97">
        <f t="shared" si="3"/>
        <v>5568.600196969167</v>
      </c>
      <c r="V16" s="97">
        <f t="shared" si="3"/>
        <v>5286.147691715778</v>
      </c>
      <c r="W16" s="97">
        <f t="shared" si="3"/>
        <v>5143.541100979114</v>
      </c>
      <c r="X16" s="97">
        <f t="shared" si="3"/>
        <v>4710.070326730723</v>
      </c>
    </row>
    <row r="17" spans="4:24" ht="15.75">
      <c r="D17" t="s">
        <v>147</v>
      </c>
      <c r="E17" s="11">
        <v>10000</v>
      </c>
      <c r="F17" s="92">
        <f t="shared" si="4"/>
        <v>3048</v>
      </c>
      <c r="G17" s="92">
        <f t="shared" si="0"/>
        <v>-5</v>
      </c>
      <c r="H17" s="93">
        <f t="shared" si="5"/>
        <v>268.15</v>
      </c>
      <c r="I17" s="92">
        <f t="shared" si="6"/>
        <v>268.15</v>
      </c>
      <c r="J17" s="94">
        <f t="shared" si="1"/>
        <v>710.7595862295311</v>
      </c>
      <c r="K17" s="95">
        <f t="shared" si="7"/>
        <v>687.435869237543</v>
      </c>
      <c r="L17" s="96">
        <f t="shared" si="8"/>
        <v>687.435869237543</v>
      </c>
      <c r="N17" s="97">
        <f t="shared" si="2"/>
        <v>10889.693807594715</v>
      </c>
      <c r="O17" s="97">
        <f t="shared" si="2"/>
        <v>9999.999999999996</v>
      </c>
      <c r="P17" s="97">
        <f t="shared" si="3"/>
        <v>9546.142869382267</v>
      </c>
      <c r="Q17" s="97">
        <f t="shared" si="3"/>
        <v>9102.589799465128</v>
      </c>
      <c r="R17" s="97">
        <f t="shared" si="3"/>
        <v>5576.305036358132</v>
      </c>
      <c r="S17" s="97">
        <f t="shared" si="3"/>
        <v>11065.726176840115</v>
      </c>
      <c r="T17" s="97">
        <f t="shared" si="3"/>
        <v>10883.145129622315</v>
      </c>
      <c r="U17" s="97">
        <f t="shared" si="3"/>
        <v>10539.719987738075</v>
      </c>
      <c r="V17" s="97">
        <f t="shared" si="3"/>
        <v>10271.61374457367</v>
      </c>
      <c r="W17" s="97">
        <f t="shared" si="3"/>
        <v>10136.250394694383</v>
      </c>
      <c r="X17" s="97">
        <f t="shared" si="3"/>
        <v>9724.796367402096</v>
      </c>
    </row>
    <row r="18" spans="4:24" ht="15.75">
      <c r="D18" t="s">
        <v>148</v>
      </c>
      <c r="E18" s="11">
        <v>36000</v>
      </c>
      <c r="F18" s="92">
        <f t="shared" si="4"/>
        <v>10972.800000000001</v>
      </c>
      <c r="G18" s="92">
        <f t="shared" si="0"/>
        <v>-57</v>
      </c>
      <c r="H18" s="93">
        <f t="shared" si="5"/>
        <v>216.14999999999998</v>
      </c>
      <c r="I18" s="92">
        <f t="shared" si="6"/>
        <v>216.14999999999998</v>
      </c>
      <c r="J18" s="94">
        <f t="shared" si="1"/>
        <v>227.94908465525026</v>
      </c>
      <c r="K18" s="95">
        <f t="shared" si="7"/>
        <v>220.46889016742685</v>
      </c>
      <c r="L18" s="96">
        <f t="shared" si="8"/>
        <v>220.46889016742685</v>
      </c>
      <c r="N18" s="97">
        <f t="shared" si="2"/>
        <v>36642.13650330133</v>
      </c>
      <c r="O18" s="97">
        <f t="shared" si="2"/>
        <v>36000</v>
      </c>
      <c r="P18" s="97">
        <f t="shared" si="3"/>
        <v>35672.42861716533</v>
      </c>
      <c r="Q18" s="97">
        <f t="shared" si="3"/>
        <v>35352.29419011433</v>
      </c>
      <c r="R18" s="97">
        <f t="shared" si="3"/>
        <v>32807.1981715774</v>
      </c>
      <c r="S18" s="97">
        <f t="shared" si="3"/>
        <v>36769.18786534315</v>
      </c>
      <c r="T18" s="97">
        <f t="shared" si="3"/>
        <v>36637.40999499189</v>
      </c>
      <c r="U18" s="97">
        <f t="shared" si="3"/>
        <v>36389.54289973639</v>
      </c>
      <c r="V18" s="97">
        <f t="shared" si="3"/>
        <v>36196.03721943468</v>
      </c>
      <c r="W18" s="97">
        <f t="shared" si="3"/>
        <v>36098.338722013825</v>
      </c>
      <c r="X18" s="97">
        <f t="shared" si="3"/>
        <v>35801.37177889323</v>
      </c>
    </row>
    <row r="19" s="79" customFormat="1" ht="4.5" customHeight="1"/>
    <row r="20" ht="7.5" customHeight="1"/>
    <row r="21" spans="1:24" s="39" customFormat="1" ht="22.5">
      <c r="A21" s="61"/>
      <c r="B21" s="106" t="s">
        <v>112</v>
      </c>
      <c r="C21" s="77" t="s">
        <v>2</v>
      </c>
      <c r="D21" s="61"/>
      <c r="E21" s="61"/>
      <c r="F21" s="61"/>
      <c r="G21" s="61"/>
      <c r="H21" s="61"/>
      <c r="I21" s="61"/>
      <c r="J21" s="61"/>
      <c r="N21" s="40" t="s">
        <v>115</v>
      </c>
      <c r="O21" s="40" t="s">
        <v>115</v>
      </c>
      <c r="P21" s="40" t="s">
        <v>115</v>
      </c>
      <c r="Q21" s="40" t="s">
        <v>115</v>
      </c>
      <c r="R21" s="40" t="s">
        <v>115</v>
      </c>
      <c r="S21" s="40" t="s">
        <v>115</v>
      </c>
      <c r="T21" s="40" t="s">
        <v>115</v>
      </c>
      <c r="U21" s="40" t="s">
        <v>115</v>
      </c>
      <c r="V21" s="40" t="s">
        <v>115</v>
      </c>
      <c r="W21" s="40" t="s">
        <v>115</v>
      </c>
      <c r="X21" s="40" t="s">
        <v>115</v>
      </c>
    </row>
    <row r="22" s="79" customFormat="1" ht="4.5" customHeight="1"/>
    <row r="23" spans="8:24" s="39" customFormat="1" ht="25.5">
      <c r="H23" s="39" t="s">
        <v>116</v>
      </c>
      <c r="J23" s="39">
        <v>1013</v>
      </c>
      <c r="L23" s="80" t="s">
        <v>117</v>
      </c>
      <c r="M23" s="40" t="s">
        <v>115</v>
      </c>
      <c r="N23" s="81" t="s">
        <v>118</v>
      </c>
      <c r="O23" s="80" t="s">
        <v>119</v>
      </c>
      <c r="P23" s="80" t="s">
        <v>120</v>
      </c>
      <c r="Q23" s="82" t="s">
        <v>121</v>
      </c>
      <c r="R23" s="83" t="s">
        <v>122</v>
      </c>
      <c r="S23" s="83" t="s">
        <v>122</v>
      </c>
      <c r="T23" s="83" t="s">
        <v>122</v>
      </c>
      <c r="U23" s="83" t="s">
        <v>122</v>
      </c>
      <c r="V23" s="83" t="s">
        <v>122</v>
      </c>
      <c r="W23" s="83" t="s">
        <v>122</v>
      </c>
      <c r="X23" s="83" t="s">
        <v>122</v>
      </c>
    </row>
    <row r="24" spans="1:24" ht="12.75">
      <c r="A24" s="84" t="s">
        <v>117</v>
      </c>
      <c r="E24" s="19" t="s">
        <v>123</v>
      </c>
      <c r="F24" t="s">
        <v>124</v>
      </c>
      <c r="G24" t="s">
        <v>125</v>
      </c>
      <c r="H24" s="85" t="s">
        <v>126</v>
      </c>
      <c r="I24" t="s">
        <v>127</v>
      </c>
      <c r="J24" s="85" t="s">
        <v>128</v>
      </c>
      <c r="K24" s="812" t="s">
        <v>129</v>
      </c>
      <c r="L24" s="64" t="s">
        <v>130</v>
      </c>
      <c r="N24" s="86">
        <f>$C$3</f>
        <v>1013.25</v>
      </c>
      <c r="O24" s="64">
        <f>B25</f>
        <v>1013</v>
      </c>
      <c r="P24" s="64">
        <f>L28</f>
        <v>997.1210562428645</v>
      </c>
      <c r="Q24" s="64">
        <f>L29</f>
        <v>981.9201206115949</v>
      </c>
      <c r="R24" s="11">
        <v>834</v>
      </c>
      <c r="S24" s="11">
        <v>1020</v>
      </c>
      <c r="T24" s="11">
        <v>1013</v>
      </c>
      <c r="U24" s="11">
        <v>1000</v>
      </c>
      <c r="V24" s="11">
        <v>990</v>
      </c>
      <c r="W24" s="11">
        <v>985</v>
      </c>
      <c r="X24" s="11">
        <v>970</v>
      </c>
    </row>
    <row r="25" spans="1:24" ht="12.75">
      <c r="A25" s="34" t="s">
        <v>131</v>
      </c>
      <c r="B25" s="11">
        <v>1013</v>
      </c>
      <c r="C25" s="87" t="s">
        <v>132</v>
      </c>
      <c r="H25" s="85"/>
      <c r="J25" s="85"/>
      <c r="K25" s="812"/>
      <c r="L25" s="64"/>
      <c r="M25" s="88" t="s">
        <v>133</v>
      </c>
      <c r="N25" s="89" t="s">
        <v>134</v>
      </c>
      <c r="O25" s="90" t="s">
        <v>135</v>
      </c>
      <c r="P25" s="90" t="s">
        <v>136</v>
      </c>
      <c r="Q25" s="91" t="s">
        <v>136</v>
      </c>
      <c r="R25" t="s">
        <v>137</v>
      </c>
      <c r="S25" t="s">
        <v>137</v>
      </c>
      <c r="T25" t="s">
        <v>137</v>
      </c>
      <c r="U25" t="s">
        <v>137</v>
      </c>
      <c r="V25" t="s">
        <v>137</v>
      </c>
      <c r="W25" t="s">
        <v>137</v>
      </c>
      <c r="X25" t="s">
        <v>137</v>
      </c>
    </row>
    <row r="26" spans="1:24" ht="15.75">
      <c r="A26" s="34" t="s">
        <v>138</v>
      </c>
      <c r="B26" s="11">
        <v>20</v>
      </c>
      <c r="D26" t="s">
        <v>139</v>
      </c>
      <c r="E26" s="11">
        <v>-470</v>
      </c>
      <c r="F26" s="92">
        <f>E26*$E$6</f>
        <v>-143.256</v>
      </c>
      <c r="G26" s="92">
        <f aca="true" t="shared" si="9" ref="G26:G32">H26+15-$E$3</f>
        <v>15.939999999999998</v>
      </c>
      <c r="H26" s="93">
        <f>$E$3+$N$3*$E26/1000</f>
        <v>289.09</v>
      </c>
      <c r="I26" s="92">
        <f>H26-$B$12</f>
        <v>289.09</v>
      </c>
      <c r="J26" s="94">
        <f>$C$3*POWER(-0.933*$F26*$M$3/($E$3*$L$3)+1,$L$3)</f>
        <v>1029.39715505768</v>
      </c>
      <c r="K26" s="95">
        <f aca="true" t="shared" si="10" ref="K26:K32">$B$25*POWER(-0.933*$F26*$M$3/($E$3*$L$3)+1,$L$3)</f>
        <v>1029.1431710569257</v>
      </c>
      <c r="L26" s="96">
        <f aca="true" t="shared" si="11" ref="L26:L32">$B$25*POWER(-0.933*$F26*$M$3/($B$27*$L$3)+1,$L$3)</f>
        <v>1028.08989378929</v>
      </c>
      <c r="N26" s="97">
        <f>-(1/$E$6)*$E$3*$L$3*(1/(0.933*$M$3))*(POWER($L26/N$24,1/$L$3)-1)</f>
        <v>-432.1455964740245</v>
      </c>
      <c r="O26" s="97">
        <f aca="true" t="shared" si="12" ref="O26:X27">-(1/$E$6)*$E$3*$L$3*(1/(0.933*$M$3))*(POWER($L26/O$24,1/$L$3)-1)</f>
        <v>-439.49537562874065</v>
      </c>
      <c r="P26" s="97">
        <f t="shared" si="12"/>
        <v>-911.1620496338089</v>
      </c>
      <c r="Q26" s="97">
        <f t="shared" si="12"/>
        <v>-1371.8331754237893</v>
      </c>
      <c r="R26" s="97">
        <f t="shared" si="12"/>
        <v>-6395.522356843291</v>
      </c>
      <c r="S26" s="97">
        <f t="shared" si="12"/>
        <v>-234.57914970592992</v>
      </c>
      <c r="T26" s="97">
        <f t="shared" si="12"/>
        <v>-439.49537562874065</v>
      </c>
      <c r="U26" s="97">
        <f t="shared" si="12"/>
        <v>-824.931788850657</v>
      </c>
      <c r="V26" s="97">
        <f t="shared" si="12"/>
        <v>-1125.835526301888</v>
      </c>
      <c r="W26" s="97">
        <f t="shared" si="12"/>
        <v>-1277.7579038334716</v>
      </c>
      <c r="X26" s="97">
        <f t="shared" si="12"/>
        <v>-1739.5451906207188</v>
      </c>
    </row>
    <row r="27" spans="1:24" ht="15.75">
      <c r="A27" t="s">
        <v>140</v>
      </c>
      <c r="B27">
        <f>B26+$E$3</f>
        <v>308.15</v>
      </c>
      <c r="C27" s="87" t="s">
        <v>141</v>
      </c>
      <c r="D27" s="98" t="s">
        <v>142</v>
      </c>
      <c r="E27" s="98">
        <v>0</v>
      </c>
      <c r="F27" s="99">
        <f aca="true" t="shared" si="13" ref="F27:F32">E27*$E$6</f>
        <v>0</v>
      </c>
      <c r="G27" s="99">
        <f t="shared" si="9"/>
        <v>15</v>
      </c>
      <c r="H27" s="99">
        <f aca="true" t="shared" si="14" ref="H27:H32">$E$3+$N$3*$E27/1000</f>
        <v>288.15</v>
      </c>
      <c r="I27" s="99">
        <f aca="true" t="shared" si="15" ref="I27:I32">H27-$B$12</f>
        <v>288.15</v>
      </c>
      <c r="J27" s="100">
        <f aca="true" t="shared" si="16" ref="J27:J32">$C$3*POWER(-0.933*$F27*$M$3/($E$3*$L$3)+1,$L$3)</f>
        <v>1013.25</v>
      </c>
      <c r="K27" s="101">
        <f t="shared" si="10"/>
        <v>1013</v>
      </c>
      <c r="L27" s="100">
        <f t="shared" si="11"/>
        <v>1013</v>
      </c>
      <c r="M27" s="98"/>
      <c r="N27" s="102">
        <f>-(1/$E$6)*$E$3*$L$3*(1/(0.933*$M$3))*(POWER($L27/N$24,1/$L$3)-1)</f>
        <v>7.318683911093499</v>
      </c>
      <c r="O27" s="102">
        <f t="shared" si="12"/>
        <v>0</v>
      </c>
      <c r="P27" s="102">
        <f t="shared" si="12"/>
        <v>-469.67115960505896</v>
      </c>
      <c r="Q27" s="102">
        <f t="shared" si="12"/>
        <v>-928.3932906581832</v>
      </c>
      <c r="R27" s="102">
        <f t="shared" si="12"/>
        <v>-5930.828385971617</v>
      </c>
      <c r="S27" s="102">
        <f t="shared" si="12"/>
        <v>204.0492719865745</v>
      </c>
      <c r="T27" s="102">
        <f t="shared" si="12"/>
        <v>0</v>
      </c>
      <c r="U27" s="102">
        <f t="shared" si="12"/>
        <v>-383.805719439081</v>
      </c>
      <c r="V27" s="102">
        <f t="shared" si="12"/>
        <v>-683.4364016286482</v>
      </c>
      <c r="W27" s="102">
        <f t="shared" si="12"/>
        <v>-834.7160301411288</v>
      </c>
      <c r="X27" s="102">
        <f t="shared" si="12"/>
        <v>-1294.5495999682807</v>
      </c>
    </row>
    <row r="28" spans="1:24" ht="15.75">
      <c r="A28" t="s">
        <v>143</v>
      </c>
      <c r="B28" s="85">
        <f>$C$3</f>
        <v>1013.25</v>
      </c>
      <c r="D28" s="84" t="s">
        <v>144</v>
      </c>
      <c r="E28" s="11">
        <v>500</v>
      </c>
      <c r="F28" s="92">
        <f t="shared" si="13"/>
        <v>152.4</v>
      </c>
      <c r="G28" s="92">
        <f t="shared" si="9"/>
        <v>14</v>
      </c>
      <c r="H28" s="93">
        <f t="shared" si="14"/>
        <v>287.15</v>
      </c>
      <c r="I28" s="92">
        <f t="shared" si="15"/>
        <v>287.15</v>
      </c>
      <c r="J28" s="94">
        <f t="shared" si="16"/>
        <v>996.2713692211757</v>
      </c>
      <c r="K28" s="95">
        <f t="shared" si="10"/>
        <v>996.0255583726139</v>
      </c>
      <c r="L28" s="103">
        <f t="shared" si="11"/>
        <v>997.1210562428645</v>
      </c>
      <c r="M28" s="84" t="s">
        <v>120</v>
      </c>
      <c r="N28" s="97">
        <f aca="true" t="shared" si="17" ref="N28:X32">-(1/$E$6)*$E$3*$L$3*(1/(0.933*$M$3))*(POWER($L28/N$24,1/$L$3)-1)</f>
        <v>474.8338758101657</v>
      </c>
      <c r="O28" s="97">
        <f t="shared" si="17"/>
        <v>467.5482719454842</v>
      </c>
      <c r="P28" s="97">
        <f t="shared" si="17"/>
        <v>0</v>
      </c>
      <c r="Q28" s="97">
        <f t="shared" si="17"/>
        <v>-456.6487323969088</v>
      </c>
      <c r="R28" s="97">
        <f t="shared" si="17"/>
        <v>-5436.473097810255</v>
      </c>
      <c r="S28" s="97">
        <f t="shared" si="17"/>
        <v>670.6752525105303</v>
      </c>
      <c r="T28" s="97">
        <f t="shared" si="17"/>
        <v>467.5482719454842</v>
      </c>
      <c r="U28" s="97">
        <f t="shared" si="17"/>
        <v>85.47733312644645</v>
      </c>
      <c r="V28" s="97">
        <f t="shared" si="17"/>
        <v>-212.79903495495822</v>
      </c>
      <c r="W28" s="97">
        <f t="shared" si="17"/>
        <v>-363.39488791524906</v>
      </c>
      <c r="X28" s="97">
        <f t="shared" si="17"/>
        <v>-821.1500354444028</v>
      </c>
    </row>
    <row r="29" spans="4:24" ht="15.75">
      <c r="D29" s="104" t="s">
        <v>145</v>
      </c>
      <c r="E29" s="11">
        <v>984</v>
      </c>
      <c r="F29" s="92">
        <f t="shared" si="13"/>
        <v>299.9232</v>
      </c>
      <c r="G29" s="92">
        <f t="shared" si="9"/>
        <v>13.031999999999982</v>
      </c>
      <c r="H29" s="93">
        <f t="shared" si="14"/>
        <v>286.18199999999996</v>
      </c>
      <c r="I29" s="92">
        <f t="shared" si="15"/>
        <v>286.18199999999996</v>
      </c>
      <c r="J29" s="94">
        <f t="shared" si="16"/>
        <v>980.0302952524391</v>
      </c>
      <c r="K29" s="95">
        <f t="shared" si="10"/>
        <v>979.7884915773213</v>
      </c>
      <c r="L29" s="105">
        <f t="shared" si="11"/>
        <v>981.9201206115949</v>
      </c>
      <c r="M29" s="104" t="s">
        <v>121</v>
      </c>
      <c r="N29" s="97">
        <f t="shared" si="17"/>
        <v>927.3885815684563</v>
      </c>
      <c r="O29" s="97">
        <f t="shared" si="17"/>
        <v>920.1349991887074</v>
      </c>
      <c r="P29" s="97">
        <f t="shared" si="17"/>
        <v>454.6416824976964</v>
      </c>
      <c r="Q29" s="97">
        <f t="shared" si="17"/>
        <v>0</v>
      </c>
      <c r="R29" s="97">
        <f t="shared" si="17"/>
        <v>-4957.937178870068</v>
      </c>
      <c r="S29" s="97">
        <f t="shared" si="17"/>
        <v>1122.3692016577058</v>
      </c>
      <c r="T29" s="97">
        <f t="shared" si="17"/>
        <v>920.1349991887074</v>
      </c>
      <c r="U29" s="97">
        <f t="shared" si="17"/>
        <v>539.743328009868</v>
      </c>
      <c r="V29" s="97">
        <f t="shared" si="17"/>
        <v>242.7779359851744</v>
      </c>
      <c r="W29" s="97">
        <f t="shared" si="17"/>
        <v>92.84397775941855</v>
      </c>
      <c r="X29" s="97">
        <f t="shared" si="17"/>
        <v>-362.899256985282</v>
      </c>
    </row>
    <row r="30" spans="4:24" ht="15.75">
      <c r="D30" t="s">
        <v>146</v>
      </c>
      <c r="E30" s="11">
        <v>5000</v>
      </c>
      <c r="F30" s="92">
        <f t="shared" si="13"/>
        <v>1524</v>
      </c>
      <c r="G30" s="92">
        <f t="shared" si="9"/>
        <v>5</v>
      </c>
      <c r="H30" s="93">
        <f t="shared" si="14"/>
        <v>278.15</v>
      </c>
      <c r="I30" s="92">
        <f t="shared" si="15"/>
        <v>278.15</v>
      </c>
      <c r="J30" s="94">
        <f t="shared" si="16"/>
        <v>852.4637424309789</v>
      </c>
      <c r="K30" s="95">
        <f t="shared" si="10"/>
        <v>852.2534133556197</v>
      </c>
      <c r="L30" s="96">
        <f t="shared" si="11"/>
        <v>862.0919796599459</v>
      </c>
      <c r="N30" s="97">
        <f t="shared" si="17"/>
        <v>4682.470602901758</v>
      </c>
      <c r="O30" s="97">
        <f t="shared" si="17"/>
        <v>4675.482719454807</v>
      </c>
      <c r="P30" s="97">
        <f t="shared" si="17"/>
        <v>4227.040436445543</v>
      </c>
      <c r="Q30" s="97">
        <f t="shared" si="17"/>
        <v>3789.052291954572</v>
      </c>
      <c r="R30" s="97">
        <f t="shared" si="17"/>
        <v>-987.2755043580073</v>
      </c>
      <c r="S30" s="97">
        <f t="shared" si="17"/>
        <v>4870.309077226029</v>
      </c>
      <c r="T30" s="97">
        <f t="shared" si="17"/>
        <v>4675.482719454807</v>
      </c>
      <c r="U30" s="97">
        <f t="shared" si="17"/>
        <v>4309.024806216102</v>
      </c>
      <c r="V30" s="97">
        <f t="shared" si="17"/>
        <v>4022.937265108195</v>
      </c>
      <c r="W30" s="97">
        <f t="shared" si="17"/>
        <v>3878.495392117784</v>
      </c>
      <c r="X30" s="97">
        <f t="shared" si="17"/>
        <v>3439.4460452705453</v>
      </c>
    </row>
    <row r="31" spans="4:24" ht="15.75">
      <c r="D31" t="s">
        <v>147</v>
      </c>
      <c r="E31" s="11">
        <v>10000</v>
      </c>
      <c r="F31" s="92">
        <f t="shared" si="13"/>
        <v>3048</v>
      </c>
      <c r="G31" s="92">
        <f t="shared" si="9"/>
        <v>-5</v>
      </c>
      <c r="H31" s="93">
        <f t="shared" si="14"/>
        <v>268.15</v>
      </c>
      <c r="I31" s="92">
        <f t="shared" si="15"/>
        <v>268.15</v>
      </c>
      <c r="J31" s="94">
        <f t="shared" si="16"/>
        <v>710.7595862295311</v>
      </c>
      <c r="K31" s="95">
        <f t="shared" si="10"/>
        <v>710.5842199363583</v>
      </c>
      <c r="L31" s="96">
        <f t="shared" si="11"/>
        <v>727.9468630194365</v>
      </c>
      <c r="N31" s="97">
        <f t="shared" si="17"/>
        <v>9357.622521892423</v>
      </c>
      <c r="O31" s="97">
        <f t="shared" si="17"/>
        <v>9350.965438909614</v>
      </c>
      <c r="P31" s="97">
        <f t="shared" si="17"/>
        <v>8923.752032496142</v>
      </c>
      <c r="Q31" s="97">
        <f t="shared" si="17"/>
        <v>8506.49787456735</v>
      </c>
      <c r="R31" s="97">
        <f t="shared" si="17"/>
        <v>3956.2773772556247</v>
      </c>
      <c r="S31" s="97">
        <f t="shared" si="17"/>
        <v>9536.568882465472</v>
      </c>
      <c r="T31" s="97">
        <f t="shared" si="17"/>
        <v>9350.965438909614</v>
      </c>
      <c r="U31" s="97">
        <f t="shared" si="17"/>
        <v>9001.855331871284</v>
      </c>
      <c r="V31" s="97">
        <f t="shared" si="17"/>
        <v>8729.310931845037</v>
      </c>
      <c r="W31" s="97">
        <f t="shared" si="17"/>
        <v>8591.706814376685</v>
      </c>
      <c r="X31" s="97">
        <f t="shared" si="17"/>
        <v>8173.441690509371</v>
      </c>
    </row>
    <row r="32" spans="4:24" ht="15.75">
      <c r="D32" t="s">
        <v>148</v>
      </c>
      <c r="E32" s="11">
        <v>36000</v>
      </c>
      <c r="F32" s="92">
        <f t="shared" si="13"/>
        <v>10972.800000000001</v>
      </c>
      <c r="G32" s="92">
        <f t="shared" si="9"/>
        <v>-57</v>
      </c>
      <c r="H32" s="93">
        <f t="shared" si="14"/>
        <v>216.14999999999998</v>
      </c>
      <c r="I32" s="92">
        <f t="shared" si="15"/>
        <v>216.14999999999998</v>
      </c>
      <c r="J32" s="94">
        <f t="shared" si="16"/>
        <v>227.94908465525026</v>
      </c>
      <c r="K32" s="95">
        <f t="shared" si="10"/>
        <v>227.89284259143201</v>
      </c>
      <c r="L32" s="96">
        <f t="shared" si="11"/>
        <v>256.6356853840276</v>
      </c>
      <c r="N32" s="97">
        <f t="shared" si="17"/>
        <v>33668.41250064389</v>
      </c>
      <c r="O32" s="97">
        <f t="shared" si="17"/>
        <v>33663.475580074635</v>
      </c>
      <c r="P32" s="97">
        <f t="shared" si="17"/>
        <v>33346.652331959325</v>
      </c>
      <c r="Q32" s="97">
        <f t="shared" si="17"/>
        <v>33037.21490415378</v>
      </c>
      <c r="R32" s="97">
        <f t="shared" si="17"/>
        <v>29662.75236164647</v>
      </c>
      <c r="S32" s="97">
        <f t="shared" si="17"/>
        <v>33801.11986971063</v>
      </c>
      <c r="T32" s="97">
        <f t="shared" si="17"/>
        <v>33663.475580074635</v>
      </c>
      <c r="U32" s="97">
        <f t="shared" si="17"/>
        <v>33404.57406527825</v>
      </c>
      <c r="V32" s="97">
        <f t="shared" si="17"/>
        <v>33202.45399887662</v>
      </c>
      <c r="W32" s="97">
        <f t="shared" si="17"/>
        <v>33100.40621012309</v>
      </c>
      <c r="X32" s="97">
        <f t="shared" si="17"/>
        <v>32790.21904575131</v>
      </c>
    </row>
    <row r="33" s="79" customFormat="1" ht="4.5" customHeight="1"/>
  </sheetData>
  <sheetProtection password="CC26" sheet="1" objects="1" scenarios="1"/>
  <mergeCells count="2">
    <mergeCell ref="K10:K11"/>
    <mergeCell ref="K24:K25"/>
  </mergeCells>
  <printOptions/>
  <pageMargins left="0.31" right="0.3" top="0.984251969" bottom="0.984251969" header="0.4921259845" footer="0.4921259845"/>
  <pageSetup fitToHeight="2" fitToWidth="1"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62"/>
  <sheetViews>
    <sheetView zoomScalePageLayoutView="0" workbookViewId="0" topLeftCell="A1">
      <selection activeCell="F36" sqref="F36"/>
    </sheetView>
  </sheetViews>
  <sheetFormatPr defaultColWidth="11.421875" defaultRowHeight="12.75"/>
  <cols>
    <col min="1" max="1" width="9.28125" style="0" customWidth="1"/>
    <col min="2" max="2" width="12.421875" style="0" customWidth="1"/>
    <col min="3" max="3" width="2.8515625" style="0" customWidth="1"/>
    <col min="4" max="4" width="13.140625" style="0" customWidth="1"/>
    <col min="5" max="5" width="9.00390625" style="0" customWidth="1"/>
    <col min="6" max="6" width="14.00390625" style="0" customWidth="1"/>
    <col min="7" max="7" width="13.57421875" style="2" customWidth="1"/>
    <col min="8" max="8" width="14.8515625" style="0" customWidth="1"/>
    <col min="9" max="9" width="15.57421875" style="0" customWidth="1"/>
    <col min="10" max="10" width="19.00390625" style="0" customWidth="1"/>
  </cols>
  <sheetData>
    <row r="1" spans="1:10" s="17" customFormat="1" ht="27.75">
      <c r="A1" s="17" t="s">
        <v>37</v>
      </c>
      <c r="G1" s="21"/>
      <c r="H1" s="10" t="s">
        <v>40</v>
      </c>
      <c r="I1" s="18"/>
      <c r="J1" s="18"/>
    </row>
    <row r="2" s="2" customFormat="1" ht="27.75">
      <c r="A2" s="14" t="s">
        <v>38</v>
      </c>
    </row>
    <row r="3" spans="1:8" s="3" customFormat="1" ht="12.75" customHeight="1">
      <c r="A3" s="3" t="s">
        <v>0</v>
      </c>
      <c r="B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10" ht="12.75">
      <c r="A4" s="11">
        <v>1</v>
      </c>
      <c r="B4" s="1">
        <f>A4</f>
        <v>1</v>
      </c>
      <c r="C4" s="1"/>
      <c r="D4" s="1">
        <f>B4*1852</f>
        <v>1852</v>
      </c>
      <c r="E4" s="1">
        <f>D4/1000</f>
        <v>1.852</v>
      </c>
      <c r="F4" s="1">
        <f aca="true" t="shared" si="0" ref="F4:F17">D4*100</f>
        <v>185200</v>
      </c>
      <c r="G4" s="22">
        <f>F4/30.48</f>
        <v>6076.115485564304</v>
      </c>
      <c r="H4" s="1">
        <f>G4</f>
        <v>6076.115485564304</v>
      </c>
      <c r="J4" s="19" t="s">
        <v>44</v>
      </c>
    </row>
    <row r="5" spans="1:10" ht="12.75">
      <c r="A5" s="11">
        <v>0.6</v>
      </c>
      <c r="B5" s="1">
        <f aca="true" t="shared" si="1" ref="B5:B17">A5</f>
        <v>0.6</v>
      </c>
      <c r="C5" s="1"/>
      <c r="D5" s="1">
        <f aca="true" t="shared" si="2" ref="D5:D13">B5*1852</f>
        <v>1111.2</v>
      </c>
      <c r="E5" s="1">
        <f aca="true" t="shared" si="3" ref="E5:E17">D5/1000</f>
        <v>1.1112</v>
      </c>
      <c r="F5" s="1">
        <f t="shared" si="0"/>
        <v>111120</v>
      </c>
      <c r="G5" s="22">
        <f>F5/30.48</f>
        <v>3645.6692913385828</v>
      </c>
      <c r="H5" s="1">
        <f aca="true" t="shared" si="4" ref="H5:H17">G5</f>
        <v>3645.6692913385828</v>
      </c>
      <c r="J5" s="19" t="s">
        <v>44</v>
      </c>
    </row>
    <row r="6" spans="1:10" ht="12.75">
      <c r="A6" s="11">
        <v>5.1</v>
      </c>
      <c r="B6" s="1">
        <f t="shared" si="1"/>
        <v>5.1</v>
      </c>
      <c r="C6" s="1"/>
      <c r="D6" s="1">
        <f t="shared" si="2"/>
        <v>9445.199999999999</v>
      </c>
      <c r="E6" s="1">
        <f t="shared" si="3"/>
        <v>9.445199999999998</v>
      </c>
      <c r="F6" s="1">
        <f t="shared" si="0"/>
        <v>944519.9999999999</v>
      </c>
      <c r="G6" s="22">
        <f>F6/30.48</f>
        <v>30988.188976377947</v>
      </c>
      <c r="H6" s="1">
        <f t="shared" si="4"/>
        <v>30988.188976377947</v>
      </c>
      <c r="J6" s="19" t="s">
        <v>44</v>
      </c>
    </row>
    <row r="7" spans="1:10" ht="12.75">
      <c r="A7" s="11">
        <v>200</v>
      </c>
      <c r="B7" s="1">
        <f t="shared" si="1"/>
        <v>200</v>
      </c>
      <c r="C7" s="1"/>
      <c r="D7" s="1">
        <f t="shared" si="2"/>
        <v>370400</v>
      </c>
      <c r="E7" s="1">
        <f t="shared" si="3"/>
        <v>370.4</v>
      </c>
      <c r="F7" s="1">
        <f t="shared" si="0"/>
        <v>37040000</v>
      </c>
      <c r="G7" s="22">
        <f>F7/30.48</f>
        <v>1215223.0971128608</v>
      </c>
      <c r="H7" s="1">
        <f t="shared" si="4"/>
        <v>1215223.0971128608</v>
      </c>
      <c r="J7" s="19" t="s">
        <v>44</v>
      </c>
    </row>
    <row r="8" spans="1:10" ht="12.75">
      <c r="A8" s="11">
        <v>5</v>
      </c>
      <c r="B8" s="1">
        <f t="shared" si="1"/>
        <v>5</v>
      </c>
      <c r="C8" s="1"/>
      <c r="D8" s="1">
        <f t="shared" si="2"/>
        <v>9260</v>
      </c>
      <c r="E8" s="1">
        <f t="shared" si="3"/>
        <v>9.26</v>
      </c>
      <c r="F8" s="1">
        <f t="shared" si="0"/>
        <v>926000</v>
      </c>
      <c r="G8" s="22">
        <f>F8/30.48</f>
        <v>30380.57742782152</v>
      </c>
      <c r="H8" s="1">
        <f t="shared" si="4"/>
        <v>30380.57742782152</v>
      </c>
      <c r="J8" s="19" t="s">
        <v>44</v>
      </c>
    </row>
    <row r="9" spans="1:10" ht="12.75">
      <c r="A9">
        <f aca="true" t="shared" si="5" ref="A9:A17">G9*0.3048/1852</f>
        <v>0.03291576673866091</v>
      </c>
      <c r="B9" s="1">
        <f t="shared" si="1"/>
        <v>0.03291576673866091</v>
      </c>
      <c r="C9" s="1"/>
      <c r="D9" s="1">
        <f t="shared" si="2"/>
        <v>60.96</v>
      </c>
      <c r="E9" s="1">
        <f t="shared" si="3"/>
        <v>0.06096</v>
      </c>
      <c r="F9" s="1">
        <f t="shared" si="0"/>
        <v>6096</v>
      </c>
      <c r="G9" s="12">
        <v>200</v>
      </c>
      <c r="H9" s="1">
        <f t="shared" si="4"/>
        <v>200</v>
      </c>
      <c r="J9" t="s">
        <v>84</v>
      </c>
    </row>
    <row r="10" spans="1:10" ht="12.75">
      <c r="A10">
        <f t="shared" si="5"/>
        <v>0.016457883369330455</v>
      </c>
      <c r="B10" s="1">
        <f t="shared" si="1"/>
        <v>0.016457883369330455</v>
      </c>
      <c r="C10" s="1"/>
      <c r="D10" s="1">
        <f t="shared" si="2"/>
        <v>30.48</v>
      </c>
      <c r="E10" s="1">
        <f t="shared" si="3"/>
        <v>0.03048</v>
      </c>
      <c r="F10" s="1">
        <f t="shared" si="0"/>
        <v>3048</v>
      </c>
      <c r="G10" s="12">
        <v>100</v>
      </c>
      <c r="H10" s="1">
        <f t="shared" si="4"/>
        <v>100</v>
      </c>
      <c r="J10" t="s">
        <v>42</v>
      </c>
    </row>
    <row r="11" spans="1:10" ht="12.75">
      <c r="A11">
        <f t="shared" si="5"/>
        <v>0.008228941684665227</v>
      </c>
      <c r="B11" s="1">
        <f t="shared" si="1"/>
        <v>0.008228941684665227</v>
      </c>
      <c r="C11" s="1"/>
      <c r="D11" s="1">
        <f t="shared" si="2"/>
        <v>15.24</v>
      </c>
      <c r="E11" s="1">
        <f t="shared" si="3"/>
        <v>0.01524</v>
      </c>
      <c r="F11" s="1">
        <f t="shared" si="0"/>
        <v>1524</v>
      </c>
      <c r="G11" s="12">
        <v>50</v>
      </c>
      <c r="H11" s="1">
        <f t="shared" si="4"/>
        <v>50</v>
      </c>
      <c r="J11" t="s">
        <v>42</v>
      </c>
    </row>
    <row r="12" spans="1:10" ht="12.75">
      <c r="A12">
        <f t="shared" si="5"/>
        <v>0.16457883369330453</v>
      </c>
      <c r="B12" s="1">
        <f t="shared" si="1"/>
        <v>0.16457883369330453</v>
      </c>
      <c r="C12" s="1"/>
      <c r="D12" s="1">
        <f t="shared" si="2"/>
        <v>304.8</v>
      </c>
      <c r="E12" s="1">
        <f t="shared" si="3"/>
        <v>0.3048</v>
      </c>
      <c r="F12" s="1">
        <f t="shared" si="0"/>
        <v>30480</v>
      </c>
      <c r="G12" s="12">
        <v>1000</v>
      </c>
      <c r="H12" s="1">
        <f t="shared" si="4"/>
        <v>1000</v>
      </c>
      <c r="J12" t="s">
        <v>41</v>
      </c>
    </row>
    <row r="13" spans="1:10" ht="12.75">
      <c r="A13">
        <f t="shared" si="5"/>
        <v>4.9373650107991365</v>
      </c>
      <c r="B13" s="1">
        <f t="shared" si="1"/>
        <v>4.9373650107991365</v>
      </c>
      <c r="C13" s="1"/>
      <c r="D13" s="1">
        <f t="shared" si="2"/>
        <v>9144</v>
      </c>
      <c r="E13" s="1">
        <f t="shared" si="3"/>
        <v>9.144</v>
      </c>
      <c r="F13" s="1">
        <f t="shared" si="0"/>
        <v>914400</v>
      </c>
      <c r="G13" s="12">
        <v>30000</v>
      </c>
      <c r="H13" s="1">
        <f t="shared" si="4"/>
        <v>30000</v>
      </c>
      <c r="J13" t="s">
        <v>41</v>
      </c>
    </row>
    <row r="14" spans="1:11" ht="12.75">
      <c r="A14">
        <f t="shared" si="5"/>
        <v>0.296976241900648</v>
      </c>
      <c r="B14" s="1">
        <f t="shared" si="1"/>
        <v>0.296976241900648</v>
      </c>
      <c r="C14" s="1"/>
      <c r="D14" s="12">
        <v>550</v>
      </c>
      <c r="E14" s="1">
        <f t="shared" si="3"/>
        <v>0.55</v>
      </c>
      <c r="F14" s="1">
        <f t="shared" si="0"/>
        <v>55000</v>
      </c>
      <c r="G14" s="22">
        <f>D14/0.3048</f>
        <v>1804.4619422572177</v>
      </c>
      <c r="H14" s="1">
        <f t="shared" si="4"/>
        <v>1804.4619422572177</v>
      </c>
      <c r="J14" s="19" t="s">
        <v>43</v>
      </c>
      <c r="K14" t="s">
        <v>85</v>
      </c>
    </row>
    <row r="15" spans="1:10" ht="12.75">
      <c r="A15">
        <f t="shared" si="5"/>
        <v>0.16198704103671707</v>
      </c>
      <c r="B15" s="1">
        <f t="shared" si="1"/>
        <v>0.16198704103671707</v>
      </c>
      <c r="C15" s="1"/>
      <c r="D15" s="12">
        <v>300</v>
      </c>
      <c r="E15" s="1">
        <f t="shared" si="3"/>
        <v>0.3</v>
      </c>
      <c r="F15" s="1">
        <f t="shared" si="0"/>
        <v>30000</v>
      </c>
      <c r="G15" s="22">
        <f>D15/0.3048</f>
        <v>984.251968503937</v>
      </c>
      <c r="H15" s="1">
        <f t="shared" si="4"/>
        <v>984.251968503937</v>
      </c>
      <c r="J15" s="19" t="s">
        <v>43</v>
      </c>
    </row>
    <row r="16" spans="1:10" ht="12.75">
      <c r="A16">
        <f t="shared" si="5"/>
        <v>0.1079913606911447</v>
      </c>
      <c r="B16" s="1">
        <f t="shared" si="1"/>
        <v>0.1079913606911447</v>
      </c>
      <c r="C16" s="1"/>
      <c r="D16" s="12">
        <v>200</v>
      </c>
      <c r="E16" s="1">
        <f t="shared" si="3"/>
        <v>0.2</v>
      </c>
      <c r="F16" s="1">
        <f t="shared" si="0"/>
        <v>20000</v>
      </c>
      <c r="G16" s="22">
        <f>D16/0.3048</f>
        <v>656.1679790026246</v>
      </c>
      <c r="H16" s="1">
        <f t="shared" si="4"/>
        <v>656.1679790026246</v>
      </c>
      <c r="J16" s="19" t="s">
        <v>43</v>
      </c>
    </row>
    <row r="17" spans="1:10" ht="12.75">
      <c r="A17">
        <f t="shared" si="5"/>
        <v>0.04049676025917927</v>
      </c>
      <c r="B17" s="1">
        <f t="shared" si="1"/>
        <v>0.04049676025917927</v>
      </c>
      <c r="C17" s="1"/>
      <c r="D17" s="12">
        <v>75</v>
      </c>
      <c r="E17" s="1">
        <f t="shared" si="3"/>
        <v>0.075</v>
      </c>
      <c r="F17" s="1">
        <f t="shared" si="0"/>
        <v>7500</v>
      </c>
      <c r="G17" s="22">
        <f>D17/0.3048</f>
        <v>246.06299212598424</v>
      </c>
      <c r="H17" s="1">
        <f t="shared" si="4"/>
        <v>246.06299212598424</v>
      </c>
      <c r="J17" s="19" t="s">
        <v>43</v>
      </c>
    </row>
    <row r="18" ht="6" customHeight="1"/>
    <row r="19" s="60" customFormat="1" ht="6" customHeight="1"/>
    <row r="20" s="15" customFormat="1" ht="25.5">
      <c r="A20" s="15" t="s">
        <v>39</v>
      </c>
    </row>
    <row r="21" spans="1:7" s="4" customFormat="1" ht="12.75">
      <c r="A21" s="4" t="s">
        <v>17</v>
      </c>
      <c r="B21" s="4" t="s">
        <v>8</v>
      </c>
      <c r="E21" s="4" t="s">
        <v>11</v>
      </c>
      <c r="G21" s="2"/>
    </row>
    <row r="22" spans="1:10" s="4" customFormat="1" ht="14.25" customHeight="1">
      <c r="A22" s="59" t="s">
        <v>18</v>
      </c>
      <c r="B22" s="4" t="s">
        <v>7</v>
      </c>
      <c r="D22" s="4" t="s">
        <v>9</v>
      </c>
      <c r="E22" s="4" t="s">
        <v>10</v>
      </c>
      <c r="F22" s="4" t="s">
        <v>12</v>
      </c>
      <c r="G22" s="2" t="s">
        <v>14</v>
      </c>
      <c r="H22" s="4" t="s">
        <v>14</v>
      </c>
      <c r="I22" s="4" t="s">
        <v>9</v>
      </c>
      <c r="J22" s="4" t="s">
        <v>10</v>
      </c>
    </row>
    <row r="23" spans="1:10" s="4" customFormat="1" ht="12.75">
      <c r="A23" s="4" t="s">
        <v>13</v>
      </c>
      <c r="B23" s="4" t="s">
        <v>0</v>
      </c>
      <c r="D23" s="4" t="s">
        <v>0</v>
      </c>
      <c r="E23" s="4" t="s">
        <v>0</v>
      </c>
      <c r="F23" s="4" t="s">
        <v>13</v>
      </c>
      <c r="G23" s="2" t="s">
        <v>15</v>
      </c>
      <c r="H23" s="4" t="s">
        <v>16</v>
      </c>
      <c r="I23" s="4" t="s">
        <v>2</v>
      </c>
      <c r="J23" s="4" t="s">
        <v>5</v>
      </c>
    </row>
    <row r="24" spans="1:10" ht="12.75">
      <c r="A24" s="1">
        <f aca="true" t="shared" si="6" ref="A24:A29">100*(B24-D24)/B24</f>
        <v>0.1370465245426189</v>
      </c>
      <c r="B24" s="12">
        <v>5</v>
      </c>
      <c r="C24" s="12"/>
      <c r="D24" s="1">
        <f aca="true" t="shared" si="7" ref="D24:D29">B24*COS(H24)</f>
        <v>4.993147673772869</v>
      </c>
      <c r="E24" s="1">
        <f>B24*SIN(H24)</f>
        <v>0.26167978121471913</v>
      </c>
      <c r="F24" s="1">
        <f>100*TAN(H24)</f>
        <v>5.240777928304119</v>
      </c>
      <c r="G24" s="23">
        <v>3</v>
      </c>
      <c r="H24" s="1">
        <f>G24*PI()/180</f>
        <v>0.05235987755982988</v>
      </c>
      <c r="I24" s="1">
        <f aca="true" t="shared" si="8" ref="I24:I29">D24*1852</f>
        <v>9247.309491827353</v>
      </c>
      <c r="J24" s="1">
        <f aca="true" t="shared" si="9" ref="J24:J29">E24*1852/0.3048</f>
        <v>1589.996570897834</v>
      </c>
    </row>
    <row r="25" spans="1:10" ht="12.75">
      <c r="A25" s="1">
        <f t="shared" si="6"/>
        <v>0.2435949740175829</v>
      </c>
      <c r="B25" s="12">
        <v>1000</v>
      </c>
      <c r="C25" s="12"/>
      <c r="D25" s="1">
        <f t="shared" si="7"/>
        <v>997.5640502598242</v>
      </c>
      <c r="E25" s="1">
        <f>B25*SIN(H25)</f>
        <v>69.7564737441253</v>
      </c>
      <c r="F25" s="1">
        <f>100*TAN(H25)</f>
        <v>6.992681194351041</v>
      </c>
      <c r="G25" s="23">
        <v>4</v>
      </c>
      <c r="H25" s="1">
        <f>G25*PI()/180</f>
        <v>0.06981317007977318</v>
      </c>
      <c r="I25" s="1">
        <f t="shared" si="8"/>
        <v>1847488.6210811944</v>
      </c>
      <c r="J25" s="1">
        <f t="shared" si="9"/>
        <v>423848.3903350396</v>
      </c>
    </row>
    <row r="26" spans="1:10" ht="12.75">
      <c r="A26" s="1">
        <f t="shared" si="6"/>
        <v>0.06091729809043045</v>
      </c>
      <c r="B26" s="12">
        <v>5</v>
      </c>
      <c r="C26" s="12"/>
      <c r="D26" s="1">
        <f t="shared" si="7"/>
        <v>4.9969541350954785</v>
      </c>
      <c r="E26" s="1">
        <f>B26*SIN(H26)</f>
        <v>0.17449748351250485</v>
      </c>
      <c r="F26" s="1">
        <f>100*TAN(H26)</f>
        <v>3.492076949174773</v>
      </c>
      <c r="G26" s="23">
        <v>2</v>
      </c>
      <c r="H26" s="1">
        <f>G26*PI()/180</f>
        <v>0.03490658503988659</v>
      </c>
      <c r="I26" s="1">
        <f t="shared" si="8"/>
        <v>9254.359058196826</v>
      </c>
      <c r="J26" s="1">
        <f t="shared" si="9"/>
        <v>1060.2668617623326</v>
      </c>
    </row>
    <row r="27" spans="1:10" ht="12.75">
      <c r="A27" s="1">
        <f t="shared" si="6"/>
        <v>0.07990412782106056</v>
      </c>
      <c r="B27" s="1">
        <f>E27/SIN(H27)</f>
        <v>12509.996003196802</v>
      </c>
      <c r="C27" s="1"/>
      <c r="D27" s="1">
        <f t="shared" si="7"/>
        <v>12499.999999999998</v>
      </c>
      <c r="E27" s="12">
        <v>500</v>
      </c>
      <c r="F27" s="12">
        <v>4</v>
      </c>
      <c r="G27" s="22">
        <f>H27*180/PI()</f>
        <v>2.2906100426385296</v>
      </c>
      <c r="H27" s="1">
        <f>ATAN(F27/100)</f>
        <v>0.039978687123290044</v>
      </c>
      <c r="I27" s="1">
        <f t="shared" si="8"/>
        <v>23149999.999999996</v>
      </c>
      <c r="J27" s="1">
        <f t="shared" si="9"/>
        <v>3038057.7427821523</v>
      </c>
    </row>
    <row r="28" spans="1:10" ht="12.75">
      <c r="A28" s="1">
        <f t="shared" si="6"/>
        <v>0.044969647763322046</v>
      </c>
      <c r="B28" s="1">
        <f>E28/SIN(H28)</f>
        <v>16674.164979925612</v>
      </c>
      <c r="C28" s="1"/>
      <c r="D28" s="1">
        <f t="shared" si="7"/>
        <v>16666.666666666664</v>
      </c>
      <c r="E28" s="12">
        <v>500</v>
      </c>
      <c r="F28" s="12">
        <v>3</v>
      </c>
      <c r="G28" s="22">
        <f>H28*180/PI()</f>
        <v>1.7183580016554572</v>
      </c>
      <c r="H28" s="1">
        <f>ATAN(F28/100)</f>
        <v>0.0299910048568779</v>
      </c>
      <c r="I28" s="1">
        <f t="shared" si="8"/>
        <v>30866666.66666666</v>
      </c>
      <c r="J28" s="1">
        <f t="shared" si="9"/>
        <v>3038057.7427821523</v>
      </c>
    </row>
    <row r="29" spans="1:10" ht="12.75">
      <c r="A29" s="1">
        <f t="shared" si="6"/>
        <v>0.12476611221552954</v>
      </c>
      <c r="B29" s="1">
        <f>E29/SIN(H29)</f>
        <v>10012.492197250393</v>
      </c>
      <c r="C29" s="1"/>
      <c r="D29" s="1">
        <f t="shared" si="7"/>
        <v>10000</v>
      </c>
      <c r="E29" s="12">
        <v>500</v>
      </c>
      <c r="F29" s="12">
        <v>5</v>
      </c>
      <c r="G29" s="22">
        <f>H29*180/PI()</f>
        <v>2.8624052261117474</v>
      </c>
      <c r="H29" s="1">
        <f>ATAN(F29/100)</f>
        <v>0.049958395721942765</v>
      </c>
      <c r="I29" s="1">
        <f t="shared" si="8"/>
        <v>18520000</v>
      </c>
      <c r="J29" s="1">
        <f t="shared" si="9"/>
        <v>3038057.7427821523</v>
      </c>
    </row>
    <row r="30" s="60" customFormat="1" ht="6" customHeight="1"/>
    <row r="31" spans="1:10" s="8" customFormat="1" ht="25.5">
      <c r="A31" s="16" t="s">
        <v>46</v>
      </c>
      <c r="B31" s="6"/>
      <c r="C31" s="6"/>
      <c r="D31" s="6"/>
      <c r="E31" s="6"/>
      <c r="F31" s="16" t="s">
        <v>45</v>
      </c>
      <c r="G31" s="22"/>
      <c r="H31" s="6"/>
      <c r="I31" s="6"/>
      <c r="J31" s="6"/>
    </row>
    <row r="32" spans="1:10" s="8" customFormat="1" ht="12.75">
      <c r="A32" s="6" t="s">
        <v>29</v>
      </c>
      <c r="B32" s="6" t="s">
        <v>30</v>
      </c>
      <c r="C32" s="6"/>
      <c r="D32" s="6"/>
      <c r="E32" s="6"/>
      <c r="F32" s="6"/>
      <c r="G32" s="22"/>
      <c r="H32" s="7" t="s">
        <v>31</v>
      </c>
      <c r="I32" s="6" t="s">
        <v>36</v>
      </c>
      <c r="J32" s="6" t="s">
        <v>35</v>
      </c>
    </row>
    <row r="33" spans="1:8" s="7" customFormat="1" ht="12.75">
      <c r="A33" s="7" t="s">
        <v>24</v>
      </c>
      <c r="B33" s="7" t="s">
        <v>19</v>
      </c>
      <c r="D33" s="7" t="s">
        <v>23</v>
      </c>
      <c r="F33" s="7" t="s">
        <v>26</v>
      </c>
      <c r="G33" s="24" t="s">
        <v>26</v>
      </c>
      <c r="H33" s="7" t="s">
        <v>32</v>
      </c>
    </row>
    <row r="34" spans="1:10" s="7" customFormat="1" ht="12.75">
      <c r="A34" s="7" t="s">
        <v>0</v>
      </c>
      <c r="B34" s="7" t="s">
        <v>20</v>
      </c>
      <c r="D34" s="7" t="s">
        <v>21</v>
      </c>
      <c r="E34" s="7" t="s">
        <v>22</v>
      </c>
      <c r="F34" s="7" t="s">
        <v>25</v>
      </c>
      <c r="G34" s="24" t="s">
        <v>27</v>
      </c>
      <c r="H34" s="7" t="s">
        <v>28</v>
      </c>
      <c r="I34" s="7" t="s">
        <v>33</v>
      </c>
      <c r="J34" s="9" t="s">
        <v>34</v>
      </c>
    </row>
    <row r="35" spans="1:10" ht="15">
      <c r="A35" s="51">
        <v>5.1</v>
      </c>
      <c r="B35" s="52">
        <v>80</v>
      </c>
      <c r="C35" s="52"/>
      <c r="D35" s="53">
        <f aca="true" t="shared" si="10" ref="D35:D44">B35</f>
        <v>80</v>
      </c>
      <c r="E35" s="53">
        <f aca="true" t="shared" si="11" ref="E35:E44">D35*1.852</f>
        <v>148.16</v>
      </c>
      <c r="F35" s="54">
        <f aca="true" t="shared" si="12" ref="F35:G44">D35/60</f>
        <v>1.3333333333333333</v>
      </c>
      <c r="G35" s="55">
        <f t="shared" si="12"/>
        <v>2.469333333333333</v>
      </c>
      <c r="H35" s="54">
        <f aca="true" t="shared" si="13" ref="H35:H44">A35/F35</f>
        <v>3.8249999999999997</v>
      </c>
      <c r="I35" s="53">
        <f aca="true" t="shared" si="14" ref="I35:I44">ROUNDDOWN(H35,0)</f>
        <v>3</v>
      </c>
      <c r="J35" s="53">
        <f aca="true" t="shared" si="15" ref="J35:J44">(H35-I35)*60</f>
        <v>49.499999999999986</v>
      </c>
    </row>
    <row r="36" spans="1:10" ht="15">
      <c r="A36" s="51">
        <v>10</v>
      </c>
      <c r="B36" s="52">
        <v>160</v>
      </c>
      <c r="C36" s="52"/>
      <c r="D36" s="53">
        <f t="shared" si="10"/>
        <v>160</v>
      </c>
      <c r="E36" s="53">
        <f t="shared" si="11"/>
        <v>296.32</v>
      </c>
      <c r="F36" s="54">
        <f t="shared" si="12"/>
        <v>2.6666666666666665</v>
      </c>
      <c r="G36" s="55">
        <f t="shared" si="12"/>
        <v>4.938666666666666</v>
      </c>
      <c r="H36" s="54">
        <f t="shared" si="13"/>
        <v>3.75</v>
      </c>
      <c r="I36" s="53">
        <f t="shared" si="14"/>
        <v>3</v>
      </c>
      <c r="J36" s="53">
        <f t="shared" si="15"/>
        <v>45</v>
      </c>
    </row>
    <row r="37" spans="1:10" ht="15">
      <c r="A37" s="51">
        <v>5</v>
      </c>
      <c r="B37" s="52">
        <v>160</v>
      </c>
      <c r="C37" s="52"/>
      <c r="D37" s="53">
        <f t="shared" si="10"/>
        <v>160</v>
      </c>
      <c r="E37" s="53">
        <f t="shared" si="11"/>
        <v>296.32</v>
      </c>
      <c r="F37" s="54">
        <f t="shared" si="12"/>
        <v>2.6666666666666665</v>
      </c>
      <c r="G37" s="55">
        <f t="shared" si="12"/>
        <v>4.938666666666666</v>
      </c>
      <c r="H37" s="54">
        <f t="shared" si="13"/>
        <v>1.875</v>
      </c>
      <c r="I37" s="53">
        <f t="shared" si="14"/>
        <v>1</v>
      </c>
      <c r="J37" s="53">
        <f t="shared" si="15"/>
        <v>52.5</v>
      </c>
    </row>
    <row r="38" spans="1:10" ht="15">
      <c r="A38" s="51">
        <v>5.1</v>
      </c>
      <c r="B38" s="52">
        <v>80</v>
      </c>
      <c r="C38" s="52"/>
      <c r="D38" s="53">
        <f t="shared" si="10"/>
        <v>80</v>
      </c>
      <c r="E38" s="53">
        <f t="shared" si="11"/>
        <v>148.16</v>
      </c>
      <c r="F38" s="54">
        <f t="shared" si="12"/>
        <v>1.3333333333333333</v>
      </c>
      <c r="G38" s="55">
        <f t="shared" si="12"/>
        <v>2.469333333333333</v>
      </c>
      <c r="H38" s="54">
        <f t="shared" si="13"/>
        <v>3.8249999999999997</v>
      </c>
      <c r="I38" s="53">
        <f t="shared" si="14"/>
        <v>3</v>
      </c>
      <c r="J38" s="53">
        <f t="shared" si="15"/>
        <v>49.499999999999986</v>
      </c>
    </row>
    <row r="39" spans="1:10" s="13" customFormat="1" ht="15">
      <c r="A39" s="56">
        <v>1</v>
      </c>
      <c r="B39" s="56">
        <v>40</v>
      </c>
      <c r="C39" s="56"/>
      <c r="D39" s="56">
        <f t="shared" si="10"/>
        <v>40</v>
      </c>
      <c r="E39" s="56">
        <f t="shared" si="11"/>
        <v>74.08</v>
      </c>
      <c r="F39" s="57">
        <f t="shared" si="12"/>
        <v>0.6666666666666666</v>
      </c>
      <c r="G39" s="58">
        <f t="shared" si="12"/>
        <v>1.2346666666666666</v>
      </c>
      <c r="H39" s="56">
        <f t="shared" si="13"/>
        <v>1.5</v>
      </c>
      <c r="I39" s="56">
        <f t="shared" si="14"/>
        <v>1</v>
      </c>
      <c r="J39" s="56">
        <f t="shared" si="15"/>
        <v>30</v>
      </c>
    </row>
    <row r="40" spans="1:10" s="13" customFormat="1" ht="15">
      <c r="A40" s="56">
        <v>2</v>
      </c>
      <c r="B40" s="56">
        <v>80</v>
      </c>
      <c r="C40" s="56"/>
      <c r="D40" s="56">
        <f t="shared" si="10"/>
        <v>80</v>
      </c>
      <c r="E40" s="56">
        <f t="shared" si="11"/>
        <v>148.16</v>
      </c>
      <c r="F40" s="57">
        <f t="shared" si="12"/>
        <v>1.3333333333333333</v>
      </c>
      <c r="G40" s="58">
        <f t="shared" si="12"/>
        <v>2.469333333333333</v>
      </c>
      <c r="H40" s="56">
        <f t="shared" si="13"/>
        <v>1.5</v>
      </c>
      <c r="I40" s="56">
        <f t="shared" si="14"/>
        <v>1</v>
      </c>
      <c r="J40" s="56">
        <f t="shared" si="15"/>
        <v>30</v>
      </c>
    </row>
    <row r="41" spans="1:10" s="13" customFormat="1" ht="15">
      <c r="A41" s="56">
        <v>1</v>
      </c>
      <c r="B41" s="56">
        <v>80</v>
      </c>
      <c r="C41" s="56"/>
      <c r="D41" s="56">
        <f t="shared" si="10"/>
        <v>80</v>
      </c>
      <c r="E41" s="56">
        <f t="shared" si="11"/>
        <v>148.16</v>
      </c>
      <c r="F41" s="57">
        <f t="shared" si="12"/>
        <v>1.3333333333333333</v>
      </c>
      <c r="G41" s="58">
        <f t="shared" si="12"/>
        <v>2.469333333333333</v>
      </c>
      <c r="H41" s="56">
        <f t="shared" si="13"/>
        <v>0.75</v>
      </c>
      <c r="I41" s="56">
        <f t="shared" si="14"/>
        <v>0</v>
      </c>
      <c r="J41" s="56">
        <f t="shared" si="15"/>
        <v>45</v>
      </c>
    </row>
    <row r="42" spans="1:10" s="13" customFormat="1" ht="15">
      <c r="A42" s="56">
        <v>10</v>
      </c>
      <c r="B42" s="56">
        <v>80</v>
      </c>
      <c r="C42" s="56"/>
      <c r="D42" s="56">
        <f t="shared" si="10"/>
        <v>80</v>
      </c>
      <c r="E42" s="56">
        <f t="shared" si="11"/>
        <v>148.16</v>
      </c>
      <c r="F42" s="57">
        <f t="shared" si="12"/>
        <v>1.3333333333333333</v>
      </c>
      <c r="G42" s="58">
        <f t="shared" si="12"/>
        <v>2.469333333333333</v>
      </c>
      <c r="H42" s="56">
        <f t="shared" si="13"/>
        <v>7.5</v>
      </c>
      <c r="I42" s="56">
        <f t="shared" si="14"/>
        <v>7</v>
      </c>
      <c r="J42" s="56">
        <f t="shared" si="15"/>
        <v>30</v>
      </c>
    </row>
    <row r="43" spans="1:10" s="13" customFormat="1" ht="15">
      <c r="A43" s="56">
        <v>100</v>
      </c>
      <c r="B43" s="56">
        <v>400</v>
      </c>
      <c r="C43" s="56"/>
      <c r="D43" s="56">
        <f t="shared" si="10"/>
        <v>400</v>
      </c>
      <c r="E43" s="56">
        <f t="shared" si="11"/>
        <v>740.8000000000001</v>
      </c>
      <c r="F43" s="57">
        <f t="shared" si="12"/>
        <v>6.666666666666667</v>
      </c>
      <c r="G43" s="58">
        <f t="shared" si="12"/>
        <v>12.346666666666668</v>
      </c>
      <c r="H43" s="56">
        <f t="shared" si="13"/>
        <v>15</v>
      </c>
      <c r="I43" s="56">
        <f t="shared" si="14"/>
        <v>15</v>
      </c>
      <c r="J43" s="56">
        <f t="shared" si="15"/>
        <v>0</v>
      </c>
    </row>
    <row r="44" spans="1:10" s="13" customFormat="1" ht="15">
      <c r="A44" s="56">
        <v>100</v>
      </c>
      <c r="B44" s="56">
        <v>800</v>
      </c>
      <c r="C44" s="56"/>
      <c r="D44" s="56">
        <f t="shared" si="10"/>
        <v>800</v>
      </c>
      <c r="E44" s="56">
        <f t="shared" si="11"/>
        <v>1481.6000000000001</v>
      </c>
      <c r="F44" s="57">
        <f t="shared" si="12"/>
        <v>13.333333333333334</v>
      </c>
      <c r="G44" s="58">
        <f t="shared" si="12"/>
        <v>24.693333333333335</v>
      </c>
      <c r="H44" s="56">
        <f t="shared" si="13"/>
        <v>7.5</v>
      </c>
      <c r="I44" s="56">
        <f t="shared" si="14"/>
        <v>7</v>
      </c>
      <c r="J44" s="56">
        <f t="shared" si="15"/>
        <v>30</v>
      </c>
    </row>
    <row r="45" s="60" customFormat="1" ht="6" customHeight="1"/>
    <row r="46" s="13" customFormat="1" ht="12.75">
      <c r="G46" s="25"/>
    </row>
    <row r="47" s="13" customFormat="1" ht="12.75">
      <c r="G47" s="25"/>
    </row>
    <row r="48" s="13" customFormat="1" ht="12.75">
      <c r="G48" s="25"/>
    </row>
    <row r="49" s="13" customFormat="1" ht="12.75">
      <c r="G49" s="25"/>
    </row>
    <row r="50" s="13" customFormat="1" ht="12.75">
      <c r="G50" s="25"/>
    </row>
    <row r="51" s="13" customFormat="1" ht="12.75">
      <c r="G51" s="25"/>
    </row>
    <row r="52" s="13" customFormat="1" ht="12.75">
      <c r="G52" s="25"/>
    </row>
    <row r="53" s="13" customFormat="1" ht="12.75">
      <c r="G53" s="25"/>
    </row>
    <row r="54" s="13" customFormat="1" ht="12.75">
      <c r="G54" s="25"/>
    </row>
    <row r="55" s="13" customFormat="1" ht="12.75">
      <c r="G55" s="25"/>
    </row>
    <row r="56" s="13" customFormat="1" ht="12.75">
      <c r="G56" s="25"/>
    </row>
    <row r="57" s="13" customFormat="1" ht="12.75">
      <c r="G57" s="25"/>
    </row>
    <row r="58" s="13" customFormat="1" ht="12.75">
      <c r="G58" s="25"/>
    </row>
    <row r="59" s="13" customFormat="1" ht="12.75">
      <c r="G59" s="25"/>
    </row>
    <row r="60" s="13" customFormat="1" ht="12.75">
      <c r="G60" s="25"/>
    </row>
    <row r="61" s="13" customFormat="1" ht="12.75">
      <c r="G61" s="25"/>
    </row>
    <row r="62" s="13" customFormat="1" ht="12.75">
      <c r="G62" s="25"/>
    </row>
  </sheetData>
  <sheetProtection password="CC26" sheet="1" objects="1" scenarios="1"/>
  <printOptions/>
  <pageMargins left="1.17" right="0.787401575" top="0.47" bottom="0.45" header="0.3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J62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28125" style="0" customWidth="1"/>
    <col min="2" max="2" width="11.7109375" style="0" bestFit="1" customWidth="1"/>
    <col min="3" max="3" width="11.7109375" style="0" customWidth="1"/>
    <col min="4" max="4" width="12.00390625" style="0" customWidth="1"/>
    <col min="5" max="5" width="7.28125" style="0" customWidth="1"/>
    <col min="6" max="6" width="11.8515625" style="0" customWidth="1"/>
    <col min="7" max="7" width="10.421875" style="2" customWidth="1"/>
    <col min="8" max="8" width="11.7109375" style="0" bestFit="1" customWidth="1"/>
    <col min="9" max="9" width="13.140625" style="0" customWidth="1"/>
    <col min="10" max="10" width="14.28125" style="0" customWidth="1"/>
  </cols>
  <sheetData>
    <row r="1" spans="1:10" s="17" customFormat="1" ht="27.75">
      <c r="A1" s="17" t="s">
        <v>37</v>
      </c>
      <c r="G1" s="21"/>
      <c r="H1" s="10" t="s">
        <v>40</v>
      </c>
      <c r="I1" s="18"/>
      <c r="J1" s="18"/>
    </row>
    <row r="2" spans="1:7" s="2" customFormat="1" ht="27.75">
      <c r="A2" s="14" t="s">
        <v>38</v>
      </c>
      <c r="G2" s="2" t="s">
        <v>47</v>
      </c>
    </row>
    <row r="3" spans="1:8" s="3" customFormat="1" ht="15">
      <c r="A3" s="3" t="s">
        <v>0</v>
      </c>
      <c r="B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</row>
    <row r="4" spans="1:10" ht="12.75">
      <c r="A4" s="11">
        <v>1</v>
      </c>
      <c r="B4" s="1">
        <f>A4</f>
        <v>1</v>
      </c>
      <c r="C4" s="1"/>
      <c r="D4" s="28">
        <f>B4*1852</f>
        <v>1852</v>
      </c>
      <c r="E4" s="28">
        <f>D4/1000</f>
        <v>1.852</v>
      </c>
      <c r="F4" s="28">
        <f>D4*100</f>
        <v>185200</v>
      </c>
      <c r="G4" s="29">
        <f>F4/30.48</f>
        <v>6076.115485564304</v>
      </c>
      <c r="H4" s="28">
        <f>G4</f>
        <v>6076.115485564304</v>
      </c>
      <c r="I4" s="28"/>
      <c r="J4" s="30" t="s">
        <v>44</v>
      </c>
    </row>
    <row r="5" spans="1:10" ht="12.75">
      <c r="A5" s="11">
        <v>0.6</v>
      </c>
      <c r="B5" s="1">
        <f aca="true" t="shared" si="0" ref="B5:B17">A5</f>
        <v>0.6</v>
      </c>
      <c r="C5" s="1"/>
      <c r="D5" s="28"/>
      <c r="E5" s="28"/>
      <c r="F5" s="28"/>
      <c r="G5" s="29">
        <f>F5/30.48</f>
        <v>0</v>
      </c>
      <c r="H5" s="28"/>
      <c r="I5" s="28"/>
      <c r="J5" s="30" t="s">
        <v>44</v>
      </c>
    </row>
    <row r="6" spans="1:10" ht="12.75">
      <c r="A6" s="11">
        <v>5.1</v>
      </c>
      <c r="B6" s="1">
        <f t="shared" si="0"/>
        <v>5.1</v>
      </c>
      <c r="C6" s="1"/>
      <c r="D6" s="28"/>
      <c r="E6" s="28"/>
      <c r="F6" s="28"/>
      <c r="G6" s="29">
        <f>F6/30.48</f>
        <v>0</v>
      </c>
      <c r="H6" s="28"/>
      <c r="I6" s="28"/>
      <c r="J6" s="30" t="s">
        <v>44</v>
      </c>
    </row>
    <row r="7" spans="1:10" ht="12.75">
      <c r="A7" s="11">
        <v>200</v>
      </c>
      <c r="B7" s="1">
        <f t="shared" si="0"/>
        <v>200</v>
      </c>
      <c r="C7" s="1"/>
      <c r="D7" s="28"/>
      <c r="E7" s="28"/>
      <c r="F7" s="28"/>
      <c r="G7" s="29">
        <f>F7/30.48</f>
        <v>0</v>
      </c>
      <c r="H7" s="28"/>
      <c r="I7" s="28"/>
      <c r="J7" s="30" t="s">
        <v>44</v>
      </c>
    </row>
    <row r="8" spans="1:10" ht="12.75">
      <c r="A8" s="11">
        <v>5</v>
      </c>
      <c r="B8" s="1">
        <f t="shared" si="0"/>
        <v>5</v>
      </c>
      <c r="C8" s="1"/>
      <c r="D8" s="28">
        <f>B8*1852</f>
        <v>9260</v>
      </c>
      <c r="E8" s="28">
        <f>D8/1000</f>
        <v>9.26</v>
      </c>
      <c r="F8" s="28">
        <f>D8*100</f>
        <v>926000</v>
      </c>
      <c r="G8" s="29">
        <f>F8/30.48</f>
        <v>30380.57742782152</v>
      </c>
      <c r="H8" s="28">
        <f aca="true" t="shared" si="1" ref="H8:H17">G8</f>
        <v>30380.57742782152</v>
      </c>
      <c r="I8" s="28"/>
      <c r="J8" s="30" t="s">
        <v>44</v>
      </c>
    </row>
    <row r="9" spans="1:10" ht="12.75">
      <c r="A9">
        <f aca="true" t="shared" si="2" ref="A9:A17">G9*0.3048/1852</f>
        <v>0.03291576673866091</v>
      </c>
      <c r="B9" s="1">
        <f t="shared" si="0"/>
        <v>0.03291576673866091</v>
      </c>
      <c r="C9" s="1"/>
      <c r="D9" s="28">
        <f>B9*1852</f>
        <v>60.96</v>
      </c>
      <c r="E9" s="28">
        <f>D9/1000</f>
        <v>0.06096</v>
      </c>
      <c r="F9" s="28">
        <f>D9*100</f>
        <v>6096</v>
      </c>
      <c r="G9" s="31">
        <v>200</v>
      </c>
      <c r="H9" s="28">
        <f t="shared" si="1"/>
        <v>200</v>
      </c>
      <c r="I9" s="28"/>
      <c r="J9" s="28" t="s">
        <v>42</v>
      </c>
    </row>
    <row r="10" spans="2:10" ht="12.75">
      <c r="B10" s="1"/>
      <c r="C10" s="1"/>
      <c r="D10" s="28"/>
      <c r="E10" s="28"/>
      <c r="F10" s="28"/>
      <c r="G10" s="31">
        <v>100</v>
      </c>
      <c r="H10" s="28"/>
      <c r="I10" s="28"/>
      <c r="J10" s="28" t="s">
        <v>42</v>
      </c>
    </row>
    <row r="11" spans="2:10" ht="12.75">
      <c r="B11" s="1"/>
      <c r="C11" s="1"/>
      <c r="D11" s="28"/>
      <c r="E11" s="28"/>
      <c r="F11" s="28"/>
      <c r="G11" s="31">
        <v>50</v>
      </c>
      <c r="H11" s="28"/>
      <c r="I11" s="28"/>
      <c r="J11" s="28" t="s">
        <v>42</v>
      </c>
    </row>
    <row r="12" spans="2:10" ht="12.75">
      <c r="B12" s="1"/>
      <c r="C12" s="1"/>
      <c r="D12" s="28"/>
      <c r="E12" s="28"/>
      <c r="F12" s="28"/>
      <c r="G12" s="31">
        <v>1000</v>
      </c>
      <c r="H12" s="28">
        <f t="shared" si="1"/>
        <v>1000</v>
      </c>
      <c r="I12" s="28"/>
      <c r="J12" s="28" t="s">
        <v>41</v>
      </c>
    </row>
    <row r="13" spans="1:10" ht="12.75">
      <c r="A13">
        <f t="shared" si="2"/>
        <v>4.9373650107991365</v>
      </c>
      <c r="B13" s="1">
        <f t="shared" si="0"/>
        <v>4.9373650107991365</v>
      </c>
      <c r="C13" s="1"/>
      <c r="D13" s="28">
        <f>B13*1852</f>
        <v>9144</v>
      </c>
      <c r="E13" s="28">
        <f>D13/1000</f>
        <v>9.144</v>
      </c>
      <c r="F13" s="28">
        <f>D13*100</f>
        <v>914400</v>
      </c>
      <c r="G13" s="31">
        <v>30000</v>
      </c>
      <c r="H13" s="28">
        <f t="shared" si="1"/>
        <v>30000</v>
      </c>
      <c r="I13" s="28"/>
      <c r="J13" s="28" t="s">
        <v>41</v>
      </c>
    </row>
    <row r="14" spans="1:10" ht="12.75">
      <c r="A14">
        <f t="shared" si="2"/>
        <v>0.296976241900648</v>
      </c>
      <c r="B14" s="1">
        <f t="shared" si="0"/>
        <v>0.296976241900648</v>
      </c>
      <c r="C14" s="1"/>
      <c r="D14" s="31">
        <v>550</v>
      </c>
      <c r="E14" s="28">
        <f>D14/1000</f>
        <v>0.55</v>
      </c>
      <c r="F14" s="28">
        <f>D14*100</f>
        <v>55000</v>
      </c>
      <c r="G14" s="29">
        <f>D14/0.3048</f>
        <v>1804.4619422572177</v>
      </c>
      <c r="H14" s="28">
        <f t="shared" si="1"/>
        <v>1804.4619422572177</v>
      </c>
      <c r="I14" s="28"/>
      <c r="J14" s="30" t="s">
        <v>43</v>
      </c>
    </row>
    <row r="15" spans="2:10" ht="12.75">
      <c r="B15" s="1"/>
      <c r="C15" s="1"/>
      <c r="D15" s="31">
        <v>300</v>
      </c>
      <c r="E15" s="28"/>
      <c r="F15" s="28"/>
      <c r="G15" s="29"/>
      <c r="H15" s="28"/>
      <c r="I15" s="28"/>
      <c r="J15" s="30" t="s">
        <v>43</v>
      </c>
    </row>
    <row r="16" spans="2:10" ht="12.75">
      <c r="B16" s="1"/>
      <c r="C16" s="1"/>
      <c r="D16" s="31">
        <v>200</v>
      </c>
      <c r="E16" s="28"/>
      <c r="F16" s="28"/>
      <c r="G16" s="29"/>
      <c r="H16" s="28"/>
      <c r="I16" s="28"/>
      <c r="J16" s="30" t="s">
        <v>43</v>
      </c>
    </row>
    <row r="17" spans="1:10" ht="12.75">
      <c r="A17">
        <f t="shared" si="2"/>
        <v>0.04049676025917927</v>
      </c>
      <c r="B17" s="1">
        <f t="shared" si="0"/>
        <v>0.04049676025917927</v>
      </c>
      <c r="C17" s="1"/>
      <c r="D17" s="31">
        <v>75</v>
      </c>
      <c r="E17" s="28">
        <f>D17/1000</f>
        <v>0.075</v>
      </c>
      <c r="F17" s="28">
        <f>D17*100</f>
        <v>7500</v>
      </c>
      <c r="G17" s="29">
        <f>D17/0.3048</f>
        <v>246.06299212598424</v>
      </c>
      <c r="H17" s="28">
        <f t="shared" si="1"/>
        <v>246.06299212598424</v>
      </c>
      <c r="I17" s="28"/>
      <c r="J17" s="30" t="s">
        <v>43</v>
      </c>
    </row>
    <row r="18" spans="4:10" ht="12.75">
      <c r="D18" s="28"/>
      <c r="E18" s="28"/>
      <c r="F18" s="28"/>
      <c r="G18" s="29"/>
      <c r="H18" s="28"/>
      <c r="I18" s="28"/>
      <c r="J18" s="28"/>
    </row>
    <row r="19" spans="4:10" ht="12.75">
      <c r="D19" s="28"/>
      <c r="E19" s="28"/>
      <c r="F19" s="28"/>
      <c r="G19" s="29"/>
      <c r="H19" s="28"/>
      <c r="I19" s="28"/>
      <c r="J19" s="28"/>
    </row>
    <row r="20" spans="1:10" s="15" customFormat="1" ht="25.5">
      <c r="A20" s="15" t="s">
        <v>39</v>
      </c>
      <c r="D20" s="32"/>
      <c r="E20" s="32"/>
      <c r="F20" s="32"/>
      <c r="G20" s="32"/>
      <c r="H20" s="32"/>
      <c r="I20" s="32"/>
      <c r="J20" s="32"/>
    </row>
    <row r="21" spans="1:10" s="4" customFormat="1" ht="12.75">
      <c r="A21" s="4" t="s">
        <v>17</v>
      </c>
      <c r="B21" s="4" t="s">
        <v>8</v>
      </c>
      <c r="D21" s="33"/>
      <c r="E21" s="33" t="s">
        <v>11</v>
      </c>
      <c r="F21" s="33"/>
      <c r="G21" s="29"/>
      <c r="H21" s="33"/>
      <c r="I21" s="33"/>
      <c r="J21" s="33"/>
    </row>
    <row r="22" spans="1:10" s="4" customFormat="1" ht="25.5" customHeight="1">
      <c r="A22" s="5" t="s">
        <v>18</v>
      </c>
      <c r="B22" s="4" t="s">
        <v>7</v>
      </c>
      <c r="D22" s="33" t="s">
        <v>9</v>
      </c>
      <c r="E22" s="33" t="s">
        <v>10</v>
      </c>
      <c r="F22" s="33" t="s">
        <v>12</v>
      </c>
      <c r="G22" s="29" t="s">
        <v>14</v>
      </c>
      <c r="H22" s="33" t="s">
        <v>14</v>
      </c>
      <c r="I22" s="33" t="s">
        <v>9</v>
      </c>
      <c r="J22" s="33" t="s">
        <v>10</v>
      </c>
    </row>
    <row r="23" spans="1:10" s="4" customFormat="1" ht="12.75">
      <c r="A23" s="4" t="s">
        <v>13</v>
      </c>
      <c r="B23" s="4" t="s">
        <v>0</v>
      </c>
      <c r="D23" s="33" t="s">
        <v>0</v>
      </c>
      <c r="E23" s="33" t="s">
        <v>0</v>
      </c>
      <c r="F23" s="33" t="s">
        <v>13</v>
      </c>
      <c r="G23" s="29" t="s">
        <v>15</v>
      </c>
      <c r="H23" s="33" t="s">
        <v>16</v>
      </c>
      <c r="I23" s="33" t="s">
        <v>2</v>
      </c>
      <c r="J23" s="33" t="s">
        <v>5</v>
      </c>
    </row>
    <row r="24" spans="1:10" ht="12.75">
      <c r="A24" s="1">
        <f>100*(B24-D24)/B24</f>
        <v>100</v>
      </c>
      <c r="B24" s="12">
        <v>5</v>
      </c>
      <c r="C24" s="12"/>
      <c r="D24" s="28"/>
      <c r="E24" s="28"/>
      <c r="F24" s="28"/>
      <c r="G24" s="27"/>
      <c r="H24" s="28"/>
      <c r="I24" s="28"/>
      <c r="J24" s="28"/>
    </row>
    <row r="25" spans="1:10" ht="12.75">
      <c r="A25" s="1">
        <f>100*(B25-D25)/B25</f>
        <v>0.2435949740175829</v>
      </c>
      <c r="B25" s="12">
        <v>1000</v>
      </c>
      <c r="C25" s="12"/>
      <c r="D25" s="28">
        <f>B25*COS(H25)</f>
        <v>997.5640502598242</v>
      </c>
      <c r="E25" s="28">
        <f>B25*SIN(H25)</f>
        <v>69.7564737441253</v>
      </c>
      <c r="F25" s="28">
        <f>100*TAN(H25)</f>
        <v>6.992681194351041</v>
      </c>
      <c r="G25" s="27">
        <v>4</v>
      </c>
      <c r="H25" s="28">
        <f>G25*PI()/180</f>
        <v>0.06981317007977318</v>
      </c>
      <c r="I25" s="28">
        <f>D25*1852</f>
        <v>1847488.6210811944</v>
      </c>
      <c r="J25" s="28">
        <f>E25*1852/0.3048</f>
        <v>423848.3903350396</v>
      </c>
    </row>
    <row r="26" spans="1:10" ht="12.75">
      <c r="A26" s="1">
        <f>100*(B26-D26)/B26</f>
        <v>0.06091729809043045</v>
      </c>
      <c r="B26" s="12">
        <v>5</v>
      </c>
      <c r="C26" s="12"/>
      <c r="D26" s="28">
        <f>B26*COS(H26)</f>
        <v>4.9969541350954785</v>
      </c>
      <c r="E26" s="28">
        <f>B26*SIN(H26)</f>
        <v>0.17449748351250485</v>
      </c>
      <c r="F26" s="28">
        <f>100*TAN(H26)</f>
        <v>3.492076949174773</v>
      </c>
      <c r="G26" s="27">
        <v>2</v>
      </c>
      <c r="H26" s="28">
        <f>G26*PI()/180</f>
        <v>0.03490658503988659</v>
      </c>
      <c r="I26" s="28">
        <f>D26*1852</f>
        <v>9254.359058196826</v>
      </c>
      <c r="J26" s="28">
        <f>E26*1852/0.3048</f>
        <v>1060.2668617623326</v>
      </c>
    </row>
    <row r="27" spans="1:10" ht="12.75">
      <c r="A27" s="1">
        <f>100*(B27-D27)/B27</f>
        <v>0.07990412782106056</v>
      </c>
      <c r="B27" s="1">
        <f>E27/SIN(H27)</f>
        <v>12509.996003196802</v>
      </c>
      <c r="C27" s="1"/>
      <c r="D27" s="28">
        <f>B27*COS(H27)</f>
        <v>12499.999999999998</v>
      </c>
      <c r="E27" s="31">
        <v>500</v>
      </c>
      <c r="F27" s="31">
        <v>4</v>
      </c>
      <c r="G27" s="29">
        <f>H27*180/PI()</f>
        <v>2.2906100426385296</v>
      </c>
      <c r="H27" s="28">
        <f>ATAN(F27/100)</f>
        <v>0.039978687123290044</v>
      </c>
      <c r="I27" s="28">
        <f>D27*1852</f>
        <v>23149999.999999996</v>
      </c>
      <c r="J27" s="28">
        <f>E27*1852/0.3048</f>
        <v>3038057.7427821523</v>
      </c>
    </row>
    <row r="28" spans="1:10" ht="12.75">
      <c r="A28" s="1"/>
      <c r="B28" s="1"/>
      <c r="C28" s="1"/>
      <c r="D28" s="28"/>
      <c r="E28" s="31">
        <v>500</v>
      </c>
      <c r="F28" s="31">
        <v>3</v>
      </c>
      <c r="G28" s="29">
        <f>H28*180/PI()</f>
        <v>0</v>
      </c>
      <c r="H28" s="28"/>
      <c r="I28" s="28"/>
      <c r="J28" s="28"/>
    </row>
    <row r="29" spans="1:10" ht="12.75">
      <c r="A29" s="1"/>
      <c r="B29" s="1"/>
      <c r="C29" s="1"/>
      <c r="D29" s="28"/>
      <c r="E29" s="31">
        <v>500</v>
      </c>
      <c r="F29" s="31">
        <v>5</v>
      </c>
      <c r="G29" s="29">
        <f>H29*180/PI()</f>
        <v>0</v>
      </c>
      <c r="H29" s="28"/>
      <c r="I29" s="28"/>
      <c r="J29" s="28"/>
    </row>
    <row r="30" spans="1:10" ht="12.75">
      <c r="A30" s="1"/>
      <c r="B30" s="1"/>
      <c r="C30" s="1"/>
      <c r="D30" s="1"/>
      <c r="E30" s="1"/>
      <c r="F30" s="1"/>
      <c r="G30" s="22"/>
      <c r="H30" s="1"/>
      <c r="I30" s="1"/>
      <c r="J30" s="1"/>
    </row>
    <row r="31" spans="1:10" s="8" customFormat="1" ht="25.5">
      <c r="A31" s="16" t="s">
        <v>46</v>
      </c>
      <c r="B31" s="6"/>
      <c r="C31" s="6"/>
      <c r="D31" s="6"/>
      <c r="E31" s="6"/>
      <c r="F31" s="16" t="s">
        <v>45</v>
      </c>
      <c r="G31" s="22"/>
      <c r="H31" s="6"/>
      <c r="I31" s="6"/>
      <c r="J31" s="6"/>
    </row>
    <row r="32" spans="1:10" s="8" customFormat="1" ht="12.75">
      <c r="A32" s="6" t="s">
        <v>29</v>
      </c>
      <c r="B32" s="6" t="s">
        <v>30</v>
      </c>
      <c r="C32" s="6"/>
      <c r="D32" s="6"/>
      <c r="E32" s="6"/>
      <c r="F32" s="6"/>
      <c r="G32" s="22"/>
      <c r="H32" s="7" t="s">
        <v>31</v>
      </c>
      <c r="I32" s="6" t="s">
        <v>36</v>
      </c>
      <c r="J32" s="6" t="s">
        <v>35</v>
      </c>
    </row>
    <row r="33" spans="1:8" s="7" customFormat="1" ht="12.75">
      <c r="A33" s="7" t="s">
        <v>24</v>
      </c>
      <c r="B33" s="7" t="s">
        <v>19</v>
      </c>
      <c r="D33" s="7" t="s">
        <v>23</v>
      </c>
      <c r="F33" s="7" t="s">
        <v>26</v>
      </c>
      <c r="G33" s="24" t="s">
        <v>26</v>
      </c>
      <c r="H33" s="7" t="s">
        <v>32</v>
      </c>
    </row>
    <row r="34" spans="1:10" s="7" customFormat="1" ht="12.75">
      <c r="A34" s="7" t="s">
        <v>0</v>
      </c>
      <c r="B34" s="7" t="s">
        <v>20</v>
      </c>
      <c r="D34" s="7" t="s">
        <v>21</v>
      </c>
      <c r="E34" s="7" t="s">
        <v>22</v>
      </c>
      <c r="F34" s="7" t="s">
        <v>25</v>
      </c>
      <c r="G34" s="24" t="s">
        <v>27</v>
      </c>
      <c r="H34" s="7" t="s">
        <v>28</v>
      </c>
      <c r="I34" s="7" t="s">
        <v>33</v>
      </c>
      <c r="J34" s="9" t="s">
        <v>34</v>
      </c>
    </row>
    <row r="35" spans="1:10" ht="30" customHeight="1">
      <c r="A35" s="11">
        <v>5.1</v>
      </c>
      <c r="B35" s="20">
        <v>80</v>
      </c>
      <c r="C35" s="20"/>
      <c r="D35">
        <f aca="true" t="shared" si="3" ref="D35:D44">B35</f>
        <v>80</v>
      </c>
      <c r="E35">
        <f>D35*1.852</f>
        <v>148.16</v>
      </c>
      <c r="F35" s="1">
        <f aca="true" t="shared" si="4" ref="F35:G44">D35/60</f>
        <v>1.3333333333333333</v>
      </c>
      <c r="G35" s="22">
        <f t="shared" si="4"/>
        <v>2.469333333333333</v>
      </c>
      <c r="H35" s="1">
        <f>A35/F35</f>
        <v>3.8249999999999997</v>
      </c>
      <c r="I35">
        <f>ROUNDDOWN(H35,0)</f>
        <v>3</v>
      </c>
      <c r="J35">
        <f>(H35-I35)*60</f>
        <v>49.499999999999986</v>
      </c>
    </row>
    <row r="36" spans="1:8" ht="30" customHeight="1">
      <c r="A36" s="11">
        <v>10</v>
      </c>
      <c r="B36" s="20">
        <v>160</v>
      </c>
      <c r="C36" s="20"/>
      <c r="D36">
        <f t="shared" si="3"/>
        <v>160</v>
      </c>
      <c r="E36">
        <f>D36*1.852</f>
        <v>296.32</v>
      </c>
      <c r="F36" s="1">
        <f t="shared" si="4"/>
        <v>2.6666666666666665</v>
      </c>
      <c r="G36" s="22">
        <f t="shared" si="4"/>
        <v>4.938666666666666</v>
      </c>
      <c r="H36" s="1">
        <f>A36/F36</f>
        <v>3.75</v>
      </c>
    </row>
    <row r="37" spans="1:8" ht="30" customHeight="1">
      <c r="A37" s="11">
        <v>5</v>
      </c>
      <c r="B37" s="20">
        <v>160</v>
      </c>
      <c r="C37" s="20"/>
      <c r="D37">
        <f t="shared" si="3"/>
        <v>160</v>
      </c>
      <c r="E37">
        <f>D37*1.852</f>
        <v>296.32</v>
      </c>
      <c r="F37" s="1">
        <f t="shared" si="4"/>
        <v>2.6666666666666665</v>
      </c>
      <c r="G37" s="22">
        <f t="shared" si="4"/>
        <v>4.938666666666666</v>
      </c>
      <c r="H37" s="1">
        <f>A37/F37</f>
        <v>1.875</v>
      </c>
    </row>
    <row r="38" spans="1:8" ht="30" customHeight="1">
      <c r="A38" s="11">
        <v>5.1</v>
      </c>
      <c r="B38" s="20">
        <v>80</v>
      </c>
      <c r="C38" s="20"/>
      <c r="D38">
        <f t="shared" si="3"/>
        <v>80</v>
      </c>
      <c r="E38">
        <f>D38*1.852</f>
        <v>148.16</v>
      </c>
      <c r="F38" s="1">
        <f t="shared" si="4"/>
        <v>1.3333333333333333</v>
      </c>
      <c r="G38" s="22">
        <f t="shared" si="4"/>
        <v>2.469333333333333</v>
      </c>
      <c r="H38" s="1">
        <f>A38/F38</f>
        <v>3.8249999999999997</v>
      </c>
    </row>
    <row r="39" spans="1:7" s="13" customFormat="1" ht="30" customHeight="1">
      <c r="A39" s="11">
        <v>1</v>
      </c>
      <c r="B39" s="20">
        <v>40</v>
      </c>
      <c r="C39" s="20"/>
      <c r="D39" s="13">
        <f t="shared" si="3"/>
        <v>40</v>
      </c>
      <c r="F39" s="26"/>
      <c r="G39" s="27"/>
    </row>
    <row r="40" spans="1:7" s="13" customFormat="1" ht="30" customHeight="1">
      <c r="A40" s="11">
        <v>2</v>
      </c>
      <c r="B40" s="20">
        <v>80</v>
      </c>
      <c r="C40" s="20"/>
      <c r="D40" s="13">
        <f t="shared" si="3"/>
        <v>80</v>
      </c>
      <c r="F40" s="26"/>
      <c r="G40" s="27"/>
    </row>
    <row r="41" spans="1:7" s="13" customFormat="1" ht="30" customHeight="1">
      <c r="A41" s="11">
        <v>1</v>
      </c>
      <c r="B41" s="20">
        <v>80</v>
      </c>
      <c r="C41" s="20"/>
      <c r="D41" s="13">
        <f t="shared" si="3"/>
        <v>80</v>
      </c>
      <c r="F41" s="26"/>
      <c r="G41" s="27"/>
    </row>
    <row r="42" spans="1:7" s="13" customFormat="1" ht="30" customHeight="1">
      <c r="A42" s="11">
        <v>10</v>
      </c>
      <c r="B42" s="20">
        <v>80</v>
      </c>
      <c r="C42" s="20"/>
      <c r="D42" s="13">
        <f t="shared" si="3"/>
        <v>80</v>
      </c>
      <c r="F42" s="26"/>
      <c r="G42" s="27"/>
    </row>
    <row r="43" spans="1:10" s="13" customFormat="1" ht="30" customHeight="1">
      <c r="A43" s="11">
        <v>100</v>
      </c>
      <c r="B43" s="20">
        <v>400</v>
      </c>
      <c r="C43" s="20"/>
      <c r="D43" s="13">
        <f t="shared" si="3"/>
        <v>400</v>
      </c>
      <c r="E43" s="13">
        <f>D43*1.852</f>
        <v>740.8000000000001</v>
      </c>
      <c r="F43" s="26">
        <f t="shared" si="4"/>
        <v>6.666666666666667</v>
      </c>
      <c r="G43" s="27">
        <f t="shared" si="4"/>
        <v>12.346666666666668</v>
      </c>
      <c r="H43" s="13">
        <f>A43/F43</f>
        <v>15</v>
      </c>
      <c r="I43" s="13">
        <f>ROUNDDOWN(H43,0)</f>
        <v>15</v>
      </c>
      <c r="J43" s="13">
        <f>(H43-I43)*60</f>
        <v>0</v>
      </c>
    </row>
    <row r="44" spans="1:10" s="13" customFormat="1" ht="30" customHeight="1">
      <c r="A44" s="11">
        <v>100</v>
      </c>
      <c r="B44" s="20">
        <v>800</v>
      </c>
      <c r="C44" s="20"/>
      <c r="D44" s="13">
        <f t="shared" si="3"/>
        <v>800</v>
      </c>
      <c r="E44" s="13">
        <f>D44*1.852</f>
        <v>1481.6000000000001</v>
      </c>
      <c r="F44" s="26">
        <f t="shared" si="4"/>
        <v>13.333333333333334</v>
      </c>
      <c r="G44" s="27">
        <f t="shared" si="4"/>
        <v>24.693333333333335</v>
      </c>
      <c r="H44" s="13">
        <f>A44/F44</f>
        <v>7.5</v>
      </c>
      <c r="I44" s="13">
        <f>ROUNDDOWN(H44,0)</f>
        <v>7</v>
      </c>
      <c r="J44" s="13">
        <f>(H44-I44)*60</f>
        <v>30</v>
      </c>
    </row>
    <row r="45" s="13" customFormat="1" ht="30" customHeight="1">
      <c r="G45" s="25"/>
    </row>
    <row r="46" s="13" customFormat="1" ht="12.75">
      <c r="G46" s="25"/>
    </row>
    <row r="47" s="13" customFormat="1" ht="12.75">
      <c r="G47" s="25"/>
    </row>
    <row r="48" s="13" customFormat="1" ht="12.75">
      <c r="G48" s="25"/>
    </row>
    <row r="49" s="13" customFormat="1" ht="12.75">
      <c r="G49" s="25"/>
    </row>
    <row r="50" s="13" customFormat="1" ht="12.75">
      <c r="G50" s="25"/>
    </row>
    <row r="51" s="13" customFormat="1" ht="12.75">
      <c r="G51" s="25"/>
    </row>
    <row r="52" s="13" customFormat="1" ht="12.75">
      <c r="G52" s="25"/>
    </row>
    <row r="53" s="13" customFormat="1" ht="12.75">
      <c r="G53" s="25"/>
    </row>
    <row r="54" s="13" customFormat="1" ht="12.75">
      <c r="G54" s="25"/>
    </row>
    <row r="55" s="13" customFormat="1" ht="12.75">
      <c r="G55" s="25"/>
    </row>
    <row r="56" s="13" customFormat="1" ht="12.75">
      <c r="G56" s="25"/>
    </row>
    <row r="57" s="13" customFormat="1" ht="12.75">
      <c r="G57" s="25"/>
    </row>
    <row r="58" s="13" customFormat="1" ht="12.75">
      <c r="G58" s="25"/>
    </row>
    <row r="59" s="13" customFormat="1" ht="12.75">
      <c r="G59" s="25"/>
    </row>
    <row r="60" s="13" customFormat="1" ht="12.75">
      <c r="G60" s="25"/>
    </row>
    <row r="61" s="13" customFormat="1" ht="12.75">
      <c r="G61" s="25"/>
    </row>
    <row r="62" s="13" customFormat="1" ht="12.75">
      <c r="G62" s="25"/>
    </row>
  </sheetData>
  <sheetProtection password="CC26" sheet="1" objects="1" scenarios="1"/>
  <printOptions/>
  <pageMargins left="0.35" right="0.32" top="0.63" bottom="0.984251969" header="0.4921259845" footer="0.4921259845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27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3.57421875" style="0" customWidth="1"/>
    <col min="2" max="2" width="2.140625" style="43" customWidth="1"/>
    <col min="3" max="3" width="13.7109375" style="0" customWidth="1"/>
    <col min="4" max="4" width="7.421875" style="43" customWidth="1"/>
    <col min="5" max="5" width="4.8515625" style="0" customWidth="1"/>
    <col min="6" max="6" width="3.00390625" style="0" customWidth="1"/>
    <col min="7" max="7" width="3.8515625" style="0" customWidth="1"/>
    <col min="8" max="8" width="1.7109375" style="0" customWidth="1"/>
    <col min="9" max="9" width="4.57421875" style="0" customWidth="1"/>
    <col min="10" max="10" width="1.7109375" style="0" customWidth="1"/>
    <col min="11" max="11" width="4.140625" style="0" bestFit="1" customWidth="1"/>
    <col min="12" max="12" width="3.28125" style="0" bestFit="1" customWidth="1"/>
    <col min="13" max="13" width="2.28125" style="2" customWidth="1"/>
    <col min="14" max="14" width="15.421875" style="0" customWidth="1"/>
    <col min="15" max="15" width="11.57421875" style="0" customWidth="1"/>
    <col min="16" max="16" width="2.00390625" style="0" bestFit="1" customWidth="1"/>
    <col min="17" max="17" width="10.28125" style="0" bestFit="1" customWidth="1"/>
    <col min="18" max="18" width="5.8515625" style="0" customWidth="1"/>
    <col min="19" max="19" width="6.140625" style="0" customWidth="1"/>
    <col min="20" max="20" width="4.421875" style="0" customWidth="1"/>
    <col min="21" max="21" width="3.28125" style="0" customWidth="1"/>
  </cols>
  <sheetData>
    <row r="1" spans="5:17" ht="12.75">
      <c r="E1" t="s">
        <v>68</v>
      </c>
      <c r="O1" s="813" t="s">
        <v>77</v>
      </c>
      <c r="P1" s="808"/>
      <c r="Q1" t="s">
        <v>76</v>
      </c>
    </row>
    <row r="2" spans="1:19" ht="11.25" customHeight="1">
      <c r="A2" s="41" t="s">
        <v>60</v>
      </c>
      <c r="B2" s="42"/>
      <c r="C2" s="39" t="s">
        <v>58</v>
      </c>
      <c r="D2" s="42"/>
      <c r="E2" s="813" t="s">
        <v>49</v>
      </c>
      <c r="F2" s="808"/>
      <c r="G2" s="40" t="s">
        <v>48</v>
      </c>
      <c r="I2" s="814" t="s">
        <v>69</v>
      </c>
      <c r="J2" s="814"/>
      <c r="K2" s="814"/>
      <c r="L2" s="814"/>
      <c r="M2" s="47"/>
      <c r="O2" s="808"/>
      <c r="P2" s="808"/>
      <c r="S2" t="s">
        <v>49</v>
      </c>
    </row>
    <row r="3" spans="1:22" ht="15.75">
      <c r="A3" s="35">
        <v>1</v>
      </c>
      <c r="B3" s="43" t="s">
        <v>59</v>
      </c>
      <c r="C3" s="35">
        <f>2^(A3)</f>
        <v>2</v>
      </c>
      <c r="D3" s="43" t="s">
        <v>61</v>
      </c>
      <c r="E3" s="36">
        <f>20*LOG(C3)</f>
        <v>6.020599913279624</v>
      </c>
      <c r="F3" t="s">
        <v>54</v>
      </c>
      <c r="G3">
        <f>A3</f>
        <v>1</v>
      </c>
      <c r="H3" t="s">
        <v>55</v>
      </c>
      <c r="I3" t="s">
        <v>57</v>
      </c>
      <c r="J3" t="s">
        <v>56</v>
      </c>
      <c r="K3">
        <f>6*A3</f>
        <v>6</v>
      </c>
      <c r="L3" t="s">
        <v>54</v>
      </c>
      <c r="N3" t="s">
        <v>53</v>
      </c>
      <c r="O3" s="35">
        <v>5</v>
      </c>
      <c r="P3" s="35" t="s">
        <v>50</v>
      </c>
      <c r="Q3" s="35">
        <v>500</v>
      </c>
      <c r="R3" t="s">
        <v>51</v>
      </c>
      <c r="S3" s="35">
        <f aca="true" t="shared" si="0" ref="S3:S11">20*LOG(Q3/O3)</f>
        <v>40</v>
      </c>
      <c r="T3" t="s">
        <v>54</v>
      </c>
      <c r="U3">
        <f aca="true" t="shared" si="1" ref="U3:U15">S3/6</f>
        <v>6.666666666666667</v>
      </c>
      <c r="V3" s="50" t="s">
        <v>83</v>
      </c>
    </row>
    <row r="4" spans="1:22" ht="15.75">
      <c r="A4" s="35">
        <f>A3+1</f>
        <v>2</v>
      </c>
      <c r="B4" s="43" t="s">
        <v>59</v>
      </c>
      <c r="C4" s="35">
        <f aca="true" t="shared" si="2" ref="C4:C27">2^(A4)</f>
        <v>4</v>
      </c>
      <c r="D4" s="43" t="s">
        <v>61</v>
      </c>
      <c r="E4" s="36">
        <f aca="true" t="shared" si="3" ref="E4:E27">20*LOG(C4)</f>
        <v>12.041199826559248</v>
      </c>
      <c r="F4" t="s">
        <v>54</v>
      </c>
      <c r="G4">
        <f>A4</f>
        <v>2</v>
      </c>
      <c r="H4" t="s">
        <v>55</v>
      </c>
      <c r="I4" t="s">
        <v>57</v>
      </c>
      <c r="J4" t="s">
        <v>56</v>
      </c>
      <c r="K4">
        <f>6*A4</f>
        <v>12</v>
      </c>
      <c r="L4" t="s">
        <v>54</v>
      </c>
      <c r="N4" t="s">
        <v>52</v>
      </c>
      <c r="O4">
        <v>0.1</v>
      </c>
      <c r="P4" s="35" t="s">
        <v>50</v>
      </c>
      <c r="Q4">
        <v>1000</v>
      </c>
      <c r="R4" t="s">
        <v>51</v>
      </c>
      <c r="S4" s="35">
        <f t="shared" si="0"/>
        <v>80</v>
      </c>
      <c r="T4" t="s">
        <v>54</v>
      </c>
      <c r="U4">
        <f t="shared" si="1"/>
        <v>13.333333333333334</v>
      </c>
      <c r="V4" s="50" t="s">
        <v>83</v>
      </c>
    </row>
    <row r="5" spans="1:22" ht="15.75">
      <c r="A5" s="35">
        <f>A4+1</f>
        <v>3</v>
      </c>
      <c r="B5" s="43" t="s">
        <v>59</v>
      </c>
      <c r="C5" s="35">
        <f t="shared" si="2"/>
        <v>8</v>
      </c>
      <c r="D5" s="43" t="s">
        <v>61</v>
      </c>
      <c r="E5" s="36">
        <f t="shared" si="3"/>
        <v>18.06179973983887</v>
      </c>
      <c r="F5" t="s">
        <v>54</v>
      </c>
      <c r="G5">
        <f aca="true" t="shared" si="4" ref="G5:G27">A5</f>
        <v>3</v>
      </c>
      <c r="H5" t="s">
        <v>55</v>
      </c>
      <c r="I5" t="s">
        <v>57</v>
      </c>
      <c r="J5" t="s">
        <v>56</v>
      </c>
      <c r="K5">
        <f aca="true" t="shared" si="5" ref="K5:K27">6*A5</f>
        <v>18</v>
      </c>
      <c r="L5" t="s">
        <v>54</v>
      </c>
      <c r="N5" t="s">
        <v>62</v>
      </c>
      <c r="O5" s="44">
        <f>Q5/C10</f>
        <v>19.53125</v>
      </c>
      <c r="P5" s="35" t="s">
        <v>50</v>
      </c>
      <c r="Q5">
        <v>5000</v>
      </c>
      <c r="R5" t="s">
        <v>51</v>
      </c>
      <c r="S5" s="36">
        <f t="shared" si="0"/>
        <v>48.16479930623699</v>
      </c>
      <c r="T5" t="s">
        <v>54</v>
      </c>
      <c r="U5">
        <f t="shared" si="1"/>
        <v>8.027466551039499</v>
      </c>
      <c r="V5" s="50" t="s">
        <v>83</v>
      </c>
    </row>
    <row r="6" spans="1:22" ht="15.75">
      <c r="A6" s="35">
        <f aca="true" t="shared" si="6" ref="A6:A25">A5+1</f>
        <v>4</v>
      </c>
      <c r="B6" s="43" t="s">
        <v>59</v>
      </c>
      <c r="C6" s="35">
        <f t="shared" si="2"/>
        <v>16</v>
      </c>
      <c r="D6" s="43" t="s">
        <v>61</v>
      </c>
      <c r="E6" s="36">
        <f t="shared" si="3"/>
        <v>24.082399653118497</v>
      </c>
      <c r="F6" t="s">
        <v>54</v>
      </c>
      <c r="G6">
        <f t="shared" si="4"/>
        <v>4</v>
      </c>
      <c r="H6" t="s">
        <v>55</v>
      </c>
      <c r="I6" t="s">
        <v>57</v>
      </c>
      <c r="J6" t="s">
        <v>56</v>
      </c>
      <c r="K6">
        <f t="shared" si="5"/>
        <v>24</v>
      </c>
      <c r="L6" t="s">
        <v>54</v>
      </c>
      <c r="N6" t="s">
        <v>63</v>
      </c>
      <c r="O6" s="28">
        <f>Q6/C15</f>
        <v>0.6103515625</v>
      </c>
      <c r="P6" s="35" t="s">
        <v>50</v>
      </c>
      <c r="Q6">
        <v>5000</v>
      </c>
      <c r="R6" t="s">
        <v>51</v>
      </c>
      <c r="S6" s="36">
        <f t="shared" si="0"/>
        <v>78.26779887263511</v>
      </c>
      <c r="T6" t="s">
        <v>54</v>
      </c>
      <c r="U6">
        <f t="shared" si="1"/>
        <v>13.044633145439185</v>
      </c>
      <c r="V6" s="50" t="s">
        <v>83</v>
      </c>
    </row>
    <row r="7" spans="1:22" ht="15.75">
      <c r="A7" s="35">
        <f t="shared" si="6"/>
        <v>5</v>
      </c>
      <c r="B7" s="43" t="s">
        <v>59</v>
      </c>
      <c r="C7" s="35">
        <f t="shared" si="2"/>
        <v>32</v>
      </c>
      <c r="D7" s="43" t="s">
        <v>61</v>
      </c>
      <c r="E7" s="36">
        <f t="shared" si="3"/>
        <v>30.102999566398122</v>
      </c>
      <c r="F7" t="s">
        <v>54</v>
      </c>
      <c r="G7">
        <f t="shared" si="4"/>
        <v>5</v>
      </c>
      <c r="H7" t="s">
        <v>55</v>
      </c>
      <c r="I7" t="s">
        <v>57</v>
      </c>
      <c r="J7" t="s">
        <v>56</v>
      </c>
      <c r="K7">
        <f t="shared" si="5"/>
        <v>30</v>
      </c>
      <c r="L7" t="s">
        <v>54</v>
      </c>
      <c r="N7" t="s">
        <v>65</v>
      </c>
      <c r="O7" s="45">
        <f>Q7/4096</f>
        <v>9.765625E-05</v>
      </c>
      <c r="P7" s="35" t="s">
        <v>50</v>
      </c>
      <c r="Q7">
        <v>0.4</v>
      </c>
      <c r="R7" t="s">
        <v>66</v>
      </c>
      <c r="S7" s="36">
        <f t="shared" si="0"/>
        <v>72.24719895935549</v>
      </c>
      <c r="T7" t="s">
        <v>54</v>
      </c>
      <c r="U7">
        <f t="shared" si="1"/>
        <v>12.041199826559248</v>
      </c>
      <c r="V7" s="50" t="s">
        <v>83</v>
      </c>
    </row>
    <row r="8" spans="1:22" ht="15.75">
      <c r="A8" s="35">
        <f t="shared" si="6"/>
        <v>6</v>
      </c>
      <c r="B8" s="43" t="s">
        <v>59</v>
      </c>
      <c r="C8" s="35">
        <f t="shared" si="2"/>
        <v>64</v>
      </c>
      <c r="D8" s="43" t="s">
        <v>61</v>
      </c>
      <c r="E8" s="36">
        <f t="shared" si="3"/>
        <v>36.12359947967774</v>
      </c>
      <c r="F8" t="s">
        <v>54</v>
      </c>
      <c r="G8">
        <f t="shared" si="4"/>
        <v>6</v>
      </c>
      <c r="H8" t="s">
        <v>55</v>
      </c>
      <c r="I8" t="s">
        <v>57</v>
      </c>
      <c r="J8" t="s">
        <v>56</v>
      </c>
      <c r="K8">
        <f t="shared" si="5"/>
        <v>36</v>
      </c>
      <c r="L8" t="s">
        <v>54</v>
      </c>
      <c r="N8" t="s">
        <v>64</v>
      </c>
      <c r="O8" s="45">
        <f>Q8/4096</f>
        <v>0.0001953125</v>
      </c>
      <c r="P8" s="35" t="s">
        <v>50</v>
      </c>
      <c r="Q8">
        <v>0.8</v>
      </c>
      <c r="R8" t="s">
        <v>66</v>
      </c>
      <c r="S8" s="36">
        <f t="shared" si="0"/>
        <v>72.24719895935549</v>
      </c>
      <c r="T8" t="s">
        <v>54</v>
      </c>
      <c r="U8">
        <f t="shared" si="1"/>
        <v>12.041199826559248</v>
      </c>
      <c r="V8" s="50" t="s">
        <v>83</v>
      </c>
    </row>
    <row r="9" spans="1:22" ht="15.75">
      <c r="A9" s="35">
        <f t="shared" si="6"/>
        <v>7</v>
      </c>
      <c r="B9" s="43" t="s">
        <v>59</v>
      </c>
      <c r="C9" s="35">
        <f t="shared" si="2"/>
        <v>128</v>
      </c>
      <c r="D9" s="43" t="s">
        <v>61</v>
      </c>
      <c r="E9" s="36">
        <f t="shared" si="3"/>
        <v>42.14419939295737</v>
      </c>
      <c r="F9" t="s">
        <v>54</v>
      </c>
      <c r="G9">
        <f t="shared" si="4"/>
        <v>7</v>
      </c>
      <c r="H9" t="s">
        <v>55</v>
      </c>
      <c r="I9" t="s">
        <v>57</v>
      </c>
      <c r="J9" t="s">
        <v>56</v>
      </c>
      <c r="K9">
        <f t="shared" si="5"/>
        <v>42</v>
      </c>
      <c r="L9" t="s">
        <v>54</v>
      </c>
      <c r="N9" t="s">
        <v>72</v>
      </c>
      <c r="O9" s="46">
        <f>Q9/4096</f>
        <v>0.0439453125</v>
      </c>
      <c r="P9" s="35" t="s">
        <v>50</v>
      </c>
      <c r="Q9">
        <v>180</v>
      </c>
      <c r="R9" t="s">
        <v>67</v>
      </c>
      <c r="S9" s="36">
        <f t="shared" si="0"/>
        <v>72.24719895935549</v>
      </c>
      <c r="T9" t="s">
        <v>54</v>
      </c>
      <c r="U9">
        <f t="shared" si="1"/>
        <v>12.041199826559248</v>
      </c>
      <c r="V9" s="50" t="s">
        <v>83</v>
      </c>
    </row>
    <row r="10" spans="1:22" s="34" customFormat="1" ht="15.75">
      <c r="A10" s="37">
        <f t="shared" si="6"/>
        <v>8</v>
      </c>
      <c r="B10" s="43" t="s">
        <v>59</v>
      </c>
      <c r="C10" s="37">
        <f t="shared" si="2"/>
        <v>256</v>
      </c>
      <c r="D10" s="43" t="s">
        <v>61</v>
      </c>
      <c r="E10" s="38">
        <f t="shared" si="3"/>
        <v>48.16479930623699</v>
      </c>
      <c r="F10" s="34" t="s">
        <v>54</v>
      </c>
      <c r="G10">
        <f t="shared" si="4"/>
        <v>8</v>
      </c>
      <c r="H10" t="s">
        <v>55</v>
      </c>
      <c r="I10" t="s">
        <v>57</v>
      </c>
      <c r="J10" t="s">
        <v>56</v>
      </c>
      <c r="K10">
        <f t="shared" si="5"/>
        <v>48</v>
      </c>
      <c r="L10" t="s">
        <v>54</v>
      </c>
      <c r="M10" s="2"/>
      <c r="N10" s="48" t="s">
        <v>74</v>
      </c>
      <c r="O10" s="46">
        <f>Q10/C19</f>
        <v>0.03814697265625</v>
      </c>
      <c r="P10" s="35" t="s">
        <v>50</v>
      </c>
      <c r="Q10">
        <v>5000</v>
      </c>
      <c r="R10" t="s">
        <v>51</v>
      </c>
      <c r="S10" s="36">
        <f t="shared" si="0"/>
        <v>102.35019852575361</v>
      </c>
      <c r="T10" t="s">
        <v>54</v>
      </c>
      <c r="U10">
        <f t="shared" si="1"/>
        <v>17.058366420958937</v>
      </c>
      <c r="V10" s="50" t="s">
        <v>83</v>
      </c>
    </row>
    <row r="11" spans="1:22" ht="15.75">
      <c r="A11" s="35">
        <f t="shared" si="6"/>
        <v>9</v>
      </c>
      <c r="B11" s="43" t="s">
        <v>59</v>
      </c>
      <c r="C11" s="35">
        <f t="shared" si="2"/>
        <v>512</v>
      </c>
      <c r="D11" s="43" t="s">
        <v>61</v>
      </c>
      <c r="E11" s="36">
        <f t="shared" si="3"/>
        <v>54.18539921951662</v>
      </c>
      <c r="F11" t="s">
        <v>54</v>
      </c>
      <c r="G11">
        <f t="shared" si="4"/>
        <v>9</v>
      </c>
      <c r="H11" t="s">
        <v>55</v>
      </c>
      <c r="I11" t="s">
        <v>57</v>
      </c>
      <c r="J11" t="s">
        <v>56</v>
      </c>
      <c r="K11">
        <f t="shared" si="5"/>
        <v>54</v>
      </c>
      <c r="L11" t="s">
        <v>54</v>
      </c>
      <c r="N11" s="49" t="s">
        <v>73</v>
      </c>
      <c r="O11" s="44">
        <f>Q11/C18</f>
        <v>0.457763671875</v>
      </c>
      <c r="P11" s="35" t="s">
        <v>50</v>
      </c>
      <c r="Q11">
        <v>30000</v>
      </c>
      <c r="R11" t="s">
        <v>70</v>
      </c>
      <c r="S11" s="36">
        <f t="shared" si="0"/>
        <v>96.32959861247399</v>
      </c>
      <c r="T11" t="s">
        <v>54</v>
      </c>
      <c r="U11">
        <f t="shared" si="1"/>
        <v>16.054933102078998</v>
      </c>
      <c r="V11" s="50" t="s">
        <v>83</v>
      </c>
    </row>
    <row r="12" spans="1:22" ht="15.75">
      <c r="A12" s="35">
        <f t="shared" si="6"/>
        <v>10</v>
      </c>
      <c r="B12" s="43" t="s">
        <v>59</v>
      </c>
      <c r="C12" s="35">
        <f t="shared" si="2"/>
        <v>1024</v>
      </c>
      <c r="D12" s="43" t="s">
        <v>61</v>
      </c>
      <c r="E12" s="36">
        <f t="shared" si="3"/>
        <v>60.205999132796244</v>
      </c>
      <c r="F12" t="s">
        <v>54</v>
      </c>
      <c r="G12">
        <f t="shared" si="4"/>
        <v>10</v>
      </c>
      <c r="H12" t="s">
        <v>55</v>
      </c>
      <c r="I12" t="s">
        <v>57</v>
      </c>
      <c r="J12" t="s">
        <v>56</v>
      </c>
      <c r="K12">
        <f t="shared" si="5"/>
        <v>60</v>
      </c>
      <c r="L12" t="s">
        <v>54</v>
      </c>
      <c r="N12" s="43" t="s">
        <v>71</v>
      </c>
      <c r="O12" s="44">
        <f>Q12/64</f>
        <v>78.125</v>
      </c>
      <c r="P12" s="35" t="s">
        <v>50</v>
      </c>
      <c r="Q12">
        <v>5000</v>
      </c>
      <c r="R12" t="s">
        <v>51</v>
      </c>
      <c r="S12" s="36">
        <f>20*LOG(Q12/O12)</f>
        <v>36.12359947967774</v>
      </c>
      <c r="T12" t="s">
        <v>54</v>
      </c>
      <c r="U12">
        <f t="shared" si="1"/>
        <v>6.020599913279624</v>
      </c>
      <c r="V12" s="50" t="s">
        <v>83</v>
      </c>
    </row>
    <row r="13" spans="1:22" ht="15.75">
      <c r="A13" s="35">
        <f t="shared" si="6"/>
        <v>11</v>
      </c>
      <c r="B13" s="43" t="s">
        <v>59</v>
      </c>
      <c r="C13" s="35">
        <f t="shared" si="2"/>
        <v>2048</v>
      </c>
      <c r="D13" s="43" t="s">
        <v>61</v>
      </c>
      <c r="E13" s="36">
        <f t="shared" si="3"/>
        <v>66.22659904607586</v>
      </c>
      <c r="F13" t="s">
        <v>54</v>
      </c>
      <c r="G13">
        <f t="shared" si="4"/>
        <v>11</v>
      </c>
      <c r="H13" t="s">
        <v>55</v>
      </c>
      <c r="I13" t="s">
        <v>57</v>
      </c>
      <c r="J13" t="s">
        <v>56</v>
      </c>
      <c r="K13">
        <f t="shared" si="5"/>
        <v>66</v>
      </c>
      <c r="L13" t="s">
        <v>54</v>
      </c>
      <c r="N13" s="48" t="s">
        <v>75</v>
      </c>
      <c r="O13" s="35">
        <v>1E-05</v>
      </c>
      <c r="P13" s="35" t="s">
        <v>50</v>
      </c>
      <c r="Q13" s="35">
        <v>100</v>
      </c>
      <c r="R13" t="s">
        <v>30</v>
      </c>
      <c r="S13" s="35">
        <f>20*LOG(Q13/O13)</f>
        <v>140</v>
      </c>
      <c r="T13" t="s">
        <v>54</v>
      </c>
      <c r="U13">
        <f t="shared" si="1"/>
        <v>23.333333333333332</v>
      </c>
      <c r="V13" s="50" t="s">
        <v>83</v>
      </c>
    </row>
    <row r="14" spans="1:22" ht="15.75">
      <c r="A14" s="35">
        <f t="shared" si="6"/>
        <v>12</v>
      </c>
      <c r="B14" s="43" t="s">
        <v>59</v>
      </c>
      <c r="C14" s="35">
        <f t="shared" si="2"/>
        <v>4096</v>
      </c>
      <c r="D14" s="43" t="s">
        <v>61</v>
      </c>
      <c r="E14" s="36">
        <f t="shared" si="3"/>
        <v>72.24719895935549</v>
      </c>
      <c r="F14" t="s">
        <v>54</v>
      </c>
      <c r="G14">
        <f t="shared" si="4"/>
        <v>12</v>
      </c>
      <c r="H14" t="s">
        <v>55</v>
      </c>
      <c r="I14" t="s">
        <v>57</v>
      </c>
      <c r="J14" t="s">
        <v>56</v>
      </c>
      <c r="K14">
        <f t="shared" si="5"/>
        <v>72</v>
      </c>
      <c r="L14" t="s">
        <v>54</v>
      </c>
      <c r="N14" s="49" t="s">
        <v>79</v>
      </c>
      <c r="O14">
        <v>0.1</v>
      </c>
      <c r="P14" s="35" t="s">
        <v>50</v>
      </c>
      <c r="Q14">
        <v>200</v>
      </c>
      <c r="R14" t="s">
        <v>78</v>
      </c>
      <c r="S14" s="36">
        <f>20*LOG(Q14/O14)</f>
        <v>66.02059991327963</v>
      </c>
      <c r="T14" t="s">
        <v>54</v>
      </c>
      <c r="U14">
        <f t="shared" si="1"/>
        <v>11.003433318879937</v>
      </c>
      <c r="V14" s="50" t="s">
        <v>83</v>
      </c>
    </row>
    <row r="15" spans="1:22" s="34" customFormat="1" ht="15.75">
      <c r="A15" s="37">
        <f t="shared" si="6"/>
        <v>13</v>
      </c>
      <c r="B15" s="43" t="s">
        <v>59</v>
      </c>
      <c r="C15" s="37">
        <f t="shared" si="2"/>
        <v>8192</v>
      </c>
      <c r="D15" s="43" t="s">
        <v>61</v>
      </c>
      <c r="E15" s="38">
        <f t="shared" si="3"/>
        <v>78.26779887263511</v>
      </c>
      <c r="F15" s="34" t="s">
        <v>54</v>
      </c>
      <c r="G15">
        <f t="shared" si="4"/>
        <v>13</v>
      </c>
      <c r="H15" t="s">
        <v>55</v>
      </c>
      <c r="I15" t="s">
        <v>57</v>
      </c>
      <c r="J15" t="s">
        <v>56</v>
      </c>
      <c r="K15">
        <f t="shared" si="5"/>
        <v>78</v>
      </c>
      <c r="L15" t="s">
        <v>54</v>
      </c>
      <c r="M15" s="2"/>
      <c r="N15" s="34" t="s">
        <v>80</v>
      </c>
      <c r="O15" s="34">
        <v>0.01</v>
      </c>
      <c r="P15" s="35" t="s">
        <v>50</v>
      </c>
      <c r="Q15" s="34">
        <v>2000</v>
      </c>
      <c r="R15" s="34" t="s">
        <v>3</v>
      </c>
      <c r="S15" s="34">
        <f>20*LOG(Q15/O15)</f>
        <v>106.02059991327963</v>
      </c>
      <c r="T15" t="s">
        <v>54</v>
      </c>
      <c r="U15">
        <f t="shared" si="1"/>
        <v>17.670099985546603</v>
      </c>
      <c r="V15" s="50" t="s">
        <v>83</v>
      </c>
    </row>
    <row r="16" spans="1:22" ht="15.75">
      <c r="A16" s="35">
        <f t="shared" si="6"/>
        <v>14</v>
      </c>
      <c r="B16" s="43" t="s">
        <v>59</v>
      </c>
      <c r="C16" s="35">
        <f t="shared" si="2"/>
        <v>16384</v>
      </c>
      <c r="D16" s="43" t="s">
        <v>61</v>
      </c>
      <c r="E16" s="36">
        <f t="shared" si="3"/>
        <v>84.28839878591474</v>
      </c>
      <c r="F16" t="s">
        <v>54</v>
      </c>
      <c r="G16">
        <f t="shared" si="4"/>
        <v>14</v>
      </c>
      <c r="H16" t="s">
        <v>55</v>
      </c>
      <c r="I16" t="s">
        <v>57</v>
      </c>
      <c r="J16" t="s">
        <v>56</v>
      </c>
      <c r="K16">
        <f t="shared" si="5"/>
        <v>84</v>
      </c>
      <c r="L16" t="s">
        <v>54</v>
      </c>
      <c r="N16" t="s">
        <v>81</v>
      </c>
      <c r="O16">
        <v>0.001</v>
      </c>
      <c r="P16" s="35" t="s">
        <v>50</v>
      </c>
      <c r="Q16">
        <v>100</v>
      </c>
      <c r="R16" t="s">
        <v>82</v>
      </c>
      <c r="S16" s="36">
        <f>20*LOG(Q16/O16)</f>
        <v>100</v>
      </c>
      <c r="T16" t="s">
        <v>54</v>
      </c>
      <c r="U16">
        <f>S16/6</f>
        <v>16.666666666666668</v>
      </c>
      <c r="V16" s="50" t="s">
        <v>83</v>
      </c>
    </row>
    <row r="17" spans="1:12" ht="15.75">
      <c r="A17" s="35">
        <f t="shared" si="6"/>
        <v>15</v>
      </c>
      <c r="B17" s="43" t="s">
        <v>59</v>
      </c>
      <c r="C17" s="35">
        <f t="shared" si="2"/>
        <v>32768</v>
      </c>
      <c r="D17" s="43" t="s">
        <v>61</v>
      </c>
      <c r="E17" s="36">
        <f t="shared" si="3"/>
        <v>90.30899869919436</v>
      </c>
      <c r="F17" t="s">
        <v>54</v>
      </c>
      <c r="G17">
        <f t="shared" si="4"/>
        <v>15</v>
      </c>
      <c r="H17" t="s">
        <v>55</v>
      </c>
      <c r="I17" t="s">
        <v>57</v>
      </c>
      <c r="J17" t="s">
        <v>56</v>
      </c>
      <c r="K17">
        <f t="shared" si="5"/>
        <v>90</v>
      </c>
      <c r="L17" t="s">
        <v>54</v>
      </c>
    </row>
    <row r="18" spans="1:13" s="34" customFormat="1" ht="15.75">
      <c r="A18" s="37">
        <f t="shared" si="6"/>
        <v>16</v>
      </c>
      <c r="B18" s="43" t="s">
        <v>59</v>
      </c>
      <c r="C18" s="37">
        <f t="shared" si="2"/>
        <v>65536</v>
      </c>
      <c r="D18" s="43" t="s">
        <v>61</v>
      </c>
      <c r="E18" s="38">
        <f t="shared" si="3"/>
        <v>96.32959861247399</v>
      </c>
      <c r="F18" s="34" t="s">
        <v>54</v>
      </c>
      <c r="G18">
        <f t="shared" si="4"/>
        <v>16</v>
      </c>
      <c r="H18" t="s">
        <v>55</v>
      </c>
      <c r="I18" t="s">
        <v>57</v>
      </c>
      <c r="J18" t="s">
        <v>56</v>
      </c>
      <c r="K18">
        <f t="shared" si="5"/>
        <v>96</v>
      </c>
      <c r="L18" t="s">
        <v>54</v>
      </c>
      <c r="M18" s="2"/>
    </row>
    <row r="19" spans="1:12" ht="15.75">
      <c r="A19" s="35">
        <f t="shared" si="6"/>
        <v>17</v>
      </c>
      <c r="B19" s="43" t="s">
        <v>59</v>
      </c>
      <c r="C19" s="35">
        <f t="shared" si="2"/>
        <v>131072</v>
      </c>
      <c r="D19" s="43" t="s">
        <v>61</v>
      </c>
      <c r="E19" s="36">
        <f t="shared" si="3"/>
        <v>102.35019852575361</v>
      </c>
      <c r="F19" t="s">
        <v>54</v>
      </c>
      <c r="G19">
        <f t="shared" si="4"/>
        <v>17</v>
      </c>
      <c r="H19" t="s">
        <v>55</v>
      </c>
      <c r="I19" t="s">
        <v>57</v>
      </c>
      <c r="J19" t="s">
        <v>56</v>
      </c>
      <c r="K19">
        <f t="shared" si="5"/>
        <v>102</v>
      </c>
      <c r="L19" t="s">
        <v>54</v>
      </c>
    </row>
    <row r="20" spans="1:12" ht="15.75">
      <c r="A20" s="35">
        <f t="shared" si="6"/>
        <v>18</v>
      </c>
      <c r="B20" s="43" t="s">
        <v>59</v>
      </c>
      <c r="C20" s="35">
        <f t="shared" si="2"/>
        <v>262144</v>
      </c>
      <c r="D20" s="43" t="s">
        <v>61</v>
      </c>
      <c r="E20" s="36">
        <f t="shared" si="3"/>
        <v>108.37079843903324</v>
      </c>
      <c r="F20" t="s">
        <v>54</v>
      </c>
      <c r="G20">
        <f t="shared" si="4"/>
        <v>18</v>
      </c>
      <c r="H20" t="s">
        <v>55</v>
      </c>
      <c r="I20" t="s">
        <v>57</v>
      </c>
      <c r="J20" t="s">
        <v>56</v>
      </c>
      <c r="K20">
        <f t="shared" si="5"/>
        <v>108</v>
      </c>
      <c r="L20" t="s">
        <v>54</v>
      </c>
    </row>
    <row r="21" spans="1:12" ht="15.75">
      <c r="A21" s="35">
        <f t="shared" si="6"/>
        <v>19</v>
      </c>
      <c r="B21" s="43" t="s">
        <v>59</v>
      </c>
      <c r="C21" s="35">
        <f t="shared" si="2"/>
        <v>524288</v>
      </c>
      <c r="D21" s="43" t="s">
        <v>61</v>
      </c>
      <c r="E21" s="36">
        <f t="shared" si="3"/>
        <v>114.39139835231286</v>
      </c>
      <c r="F21" t="s">
        <v>54</v>
      </c>
      <c r="G21">
        <f t="shared" si="4"/>
        <v>19</v>
      </c>
      <c r="H21" t="s">
        <v>55</v>
      </c>
      <c r="I21" t="s">
        <v>57</v>
      </c>
      <c r="J21" t="s">
        <v>56</v>
      </c>
      <c r="K21">
        <f t="shared" si="5"/>
        <v>114</v>
      </c>
      <c r="L21" t="s">
        <v>54</v>
      </c>
    </row>
    <row r="22" spans="1:12" ht="15.75">
      <c r="A22" s="35">
        <f t="shared" si="6"/>
        <v>20</v>
      </c>
      <c r="B22" s="43" t="s">
        <v>59</v>
      </c>
      <c r="C22" s="35">
        <f t="shared" si="2"/>
        <v>1048576</v>
      </c>
      <c r="D22" s="43" t="s">
        <v>61</v>
      </c>
      <c r="E22" s="36">
        <f t="shared" si="3"/>
        <v>120.41199826559249</v>
      </c>
      <c r="F22" t="s">
        <v>54</v>
      </c>
      <c r="G22">
        <f t="shared" si="4"/>
        <v>20</v>
      </c>
      <c r="H22" t="s">
        <v>55</v>
      </c>
      <c r="I22" t="s">
        <v>57</v>
      </c>
      <c r="J22" t="s">
        <v>56</v>
      </c>
      <c r="K22">
        <f t="shared" si="5"/>
        <v>120</v>
      </c>
      <c r="L22" t="s">
        <v>54</v>
      </c>
    </row>
    <row r="23" spans="1:12" ht="15.75">
      <c r="A23" s="35">
        <f t="shared" si="6"/>
        <v>21</v>
      </c>
      <c r="B23" s="43" t="s">
        <v>59</v>
      </c>
      <c r="C23" s="35">
        <f t="shared" si="2"/>
        <v>2097152</v>
      </c>
      <c r="D23" s="43" t="s">
        <v>61</v>
      </c>
      <c r="E23" s="36">
        <f t="shared" si="3"/>
        <v>126.43259817887211</v>
      </c>
      <c r="F23" t="s">
        <v>54</v>
      </c>
      <c r="G23">
        <f t="shared" si="4"/>
        <v>21</v>
      </c>
      <c r="H23" t="s">
        <v>55</v>
      </c>
      <c r="I23" t="s">
        <v>57</v>
      </c>
      <c r="J23" t="s">
        <v>56</v>
      </c>
      <c r="K23">
        <f t="shared" si="5"/>
        <v>126</v>
      </c>
      <c r="L23" t="s">
        <v>54</v>
      </c>
    </row>
    <row r="24" spans="1:12" ht="15.75">
      <c r="A24" s="35">
        <f t="shared" si="6"/>
        <v>22</v>
      </c>
      <c r="B24" s="43" t="s">
        <v>59</v>
      </c>
      <c r="C24" s="35">
        <f t="shared" si="2"/>
        <v>4194304</v>
      </c>
      <c r="D24" s="43" t="s">
        <v>61</v>
      </c>
      <c r="E24" s="36">
        <f t="shared" si="3"/>
        <v>132.45319809215172</v>
      </c>
      <c r="F24" t="s">
        <v>54</v>
      </c>
      <c r="G24">
        <f t="shared" si="4"/>
        <v>22</v>
      </c>
      <c r="H24" t="s">
        <v>55</v>
      </c>
      <c r="I24" t="s">
        <v>57</v>
      </c>
      <c r="J24" t="s">
        <v>56</v>
      </c>
      <c r="K24">
        <f t="shared" si="5"/>
        <v>132</v>
      </c>
      <c r="L24" t="s">
        <v>54</v>
      </c>
    </row>
    <row r="25" spans="1:12" ht="15.75">
      <c r="A25" s="35">
        <f t="shared" si="6"/>
        <v>23</v>
      </c>
      <c r="B25" s="43" t="s">
        <v>59</v>
      </c>
      <c r="C25" s="35">
        <f t="shared" si="2"/>
        <v>8388608</v>
      </c>
      <c r="D25" s="43" t="s">
        <v>61</v>
      </c>
      <c r="E25" s="36">
        <f t="shared" si="3"/>
        <v>138.47379800543135</v>
      </c>
      <c r="F25" t="s">
        <v>54</v>
      </c>
      <c r="G25">
        <f t="shared" si="4"/>
        <v>23</v>
      </c>
      <c r="H25" t="s">
        <v>55</v>
      </c>
      <c r="I25" t="s">
        <v>57</v>
      </c>
      <c r="J25" t="s">
        <v>56</v>
      </c>
      <c r="K25">
        <f t="shared" si="5"/>
        <v>138</v>
      </c>
      <c r="L25" t="s">
        <v>54</v>
      </c>
    </row>
    <row r="26" spans="1:13" s="34" customFormat="1" ht="15.75">
      <c r="A26" s="37">
        <f>A25+1</f>
        <v>24</v>
      </c>
      <c r="B26" s="43" t="s">
        <v>59</v>
      </c>
      <c r="C26" s="37">
        <f t="shared" si="2"/>
        <v>16777216</v>
      </c>
      <c r="D26" s="43" t="s">
        <v>61</v>
      </c>
      <c r="E26" s="38">
        <f t="shared" si="3"/>
        <v>144.49439791871097</v>
      </c>
      <c r="F26" s="34" t="s">
        <v>54</v>
      </c>
      <c r="G26">
        <f t="shared" si="4"/>
        <v>24</v>
      </c>
      <c r="H26" t="s">
        <v>55</v>
      </c>
      <c r="I26" t="s">
        <v>57</v>
      </c>
      <c r="J26" t="s">
        <v>56</v>
      </c>
      <c r="K26">
        <f t="shared" si="5"/>
        <v>144</v>
      </c>
      <c r="L26" t="s">
        <v>54</v>
      </c>
      <c r="M26" s="2"/>
    </row>
    <row r="27" spans="1:12" ht="15.75">
      <c r="A27" s="35">
        <f>A26+1</f>
        <v>25</v>
      </c>
      <c r="B27" s="43" t="s">
        <v>59</v>
      </c>
      <c r="C27" s="35">
        <f t="shared" si="2"/>
        <v>33554432</v>
      </c>
      <c r="D27" s="43" t="s">
        <v>61</v>
      </c>
      <c r="E27" s="36">
        <f t="shared" si="3"/>
        <v>150.5149978319906</v>
      </c>
      <c r="F27" t="s">
        <v>54</v>
      </c>
      <c r="G27">
        <f t="shared" si="4"/>
        <v>25</v>
      </c>
      <c r="H27" t="s">
        <v>55</v>
      </c>
      <c r="I27" t="s">
        <v>57</v>
      </c>
      <c r="J27" t="s">
        <v>56</v>
      </c>
      <c r="K27">
        <f t="shared" si="5"/>
        <v>150</v>
      </c>
      <c r="L27" t="s">
        <v>54</v>
      </c>
    </row>
  </sheetData>
  <sheetProtection password="CC26" sheet="1" objects="1" scenarios="1"/>
  <mergeCells count="3">
    <mergeCell ref="E2:F2"/>
    <mergeCell ref="I2:L2"/>
    <mergeCell ref="O1:P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4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7.28125" style="122" customWidth="1"/>
    <col min="2" max="2" width="7.57421875" style="125" customWidth="1"/>
    <col min="3" max="3" width="8.28125" style="125" customWidth="1"/>
    <col min="4" max="11" width="6.140625" style="125" customWidth="1"/>
    <col min="12" max="12" width="7.8515625" style="126" customWidth="1"/>
    <col min="13" max="23" width="6.140625" style="125" customWidth="1"/>
    <col min="24" max="24" width="6.140625" style="126" customWidth="1"/>
    <col min="25" max="28" width="6.140625" style="125" customWidth="1"/>
  </cols>
  <sheetData>
    <row r="1" spans="2:14" ht="21.75" customHeight="1">
      <c r="B1" s="123" t="s">
        <v>320</v>
      </c>
      <c r="C1" s="124"/>
      <c r="M1" s="125" t="s">
        <v>321</v>
      </c>
      <c r="N1" s="125">
        <v>1.4</v>
      </c>
    </row>
    <row r="2" ht="21.75" customHeight="1"/>
    <row r="3" spans="2:28" ht="18.75">
      <c r="B3" s="127"/>
      <c r="C3" s="127" t="s">
        <v>322</v>
      </c>
      <c r="D3" s="127">
        <v>0.1</v>
      </c>
      <c r="E3" s="127">
        <v>0.2</v>
      </c>
      <c r="F3" s="127">
        <v>0.3</v>
      </c>
      <c r="G3" s="127">
        <v>0.4</v>
      </c>
      <c r="H3" s="127">
        <v>0.5</v>
      </c>
      <c r="I3" s="127">
        <v>0.6</v>
      </c>
      <c r="J3" s="127">
        <v>0.7</v>
      </c>
      <c r="K3" s="127">
        <v>0.8</v>
      </c>
      <c r="L3" s="128">
        <v>0.85</v>
      </c>
      <c r="M3" s="127">
        <v>0.9</v>
      </c>
      <c r="N3" s="127">
        <v>1</v>
      </c>
      <c r="O3" s="127">
        <v>1.1</v>
      </c>
      <c r="P3" s="127">
        <v>1.2</v>
      </c>
      <c r="Q3" s="127">
        <v>1.3</v>
      </c>
      <c r="R3" s="127">
        <v>1.4</v>
      </c>
      <c r="S3" s="127">
        <v>1.5</v>
      </c>
      <c r="T3" s="127">
        <v>1.6</v>
      </c>
      <c r="U3" s="127">
        <v>1.7</v>
      </c>
      <c r="V3" s="129">
        <v>1.8</v>
      </c>
      <c r="W3" s="129">
        <v>1.9</v>
      </c>
      <c r="X3" s="128">
        <v>2</v>
      </c>
      <c r="Y3" s="130">
        <v>2.2</v>
      </c>
      <c r="Z3" s="129">
        <v>2.5</v>
      </c>
      <c r="AA3" s="129">
        <v>3</v>
      </c>
      <c r="AB3" s="129">
        <v>4</v>
      </c>
    </row>
    <row r="4" spans="1:28" ht="15.75">
      <c r="A4" s="131" t="s">
        <v>323</v>
      </c>
      <c r="B4" s="132" t="s">
        <v>324</v>
      </c>
      <c r="C4" s="133"/>
      <c r="D4" s="134" t="s">
        <v>325</v>
      </c>
      <c r="E4" s="135"/>
      <c r="F4" s="135"/>
      <c r="G4" s="135"/>
      <c r="H4" s="135"/>
      <c r="I4" s="135"/>
      <c r="J4" s="135"/>
      <c r="K4" s="135"/>
      <c r="L4" s="134" t="s">
        <v>325</v>
      </c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4" t="s">
        <v>325</v>
      </c>
      <c r="Y4" s="135"/>
      <c r="Z4" s="135"/>
      <c r="AA4" s="135"/>
      <c r="AB4" s="135"/>
    </row>
    <row r="5" spans="1:28" ht="15">
      <c r="A5" s="136">
        <v>-80</v>
      </c>
      <c r="B5" s="125">
        <f>A5+273</f>
        <v>193</v>
      </c>
      <c r="D5" s="137">
        <f aca="true" t="shared" si="0" ref="D5:S20">$B5*(1+0.2*D$3*D$3)-273</f>
        <v>-79.614</v>
      </c>
      <c r="E5" s="137">
        <f t="shared" si="0"/>
        <v>-78.45599999999999</v>
      </c>
      <c r="F5" s="137">
        <f t="shared" si="0"/>
        <v>-76.52600000000001</v>
      </c>
      <c r="G5" s="137">
        <f t="shared" si="0"/>
        <v>-73.82399999999998</v>
      </c>
      <c r="H5" s="137">
        <f t="shared" si="0"/>
        <v>-70.35</v>
      </c>
      <c r="I5" s="137">
        <f t="shared" si="0"/>
        <v>-66.10399999999998</v>
      </c>
      <c r="J5" s="137">
        <f t="shared" si="0"/>
        <v>-61.085999999999984</v>
      </c>
      <c r="K5" s="137">
        <f t="shared" si="0"/>
        <v>-55.29599999999999</v>
      </c>
      <c r="L5" s="138">
        <f t="shared" si="0"/>
        <v>-52.11149999999998</v>
      </c>
      <c r="M5" s="137">
        <f t="shared" si="0"/>
        <v>-48.73400000000001</v>
      </c>
      <c r="N5" s="137">
        <f t="shared" si="0"/>
        <v>-41.400000000000006</v>
      </c>
      <c r="O5" s="137">
        <f t="shared" si="0"/>
        <v>-33.29400000000001</v>
      </c>
      <c r="P5" s="137">
        <f t="shared" si="0"/>
        <v>-24.415999999999997</v>
      </c>
      <c r="Q5" s="137">
        <f t="shared" si="0"/>
        <v>-14.765999999999963</v>
      </c>
      <c r="R5" s="137">
        <f t="shared" si="0"/>
        <v>-4.343999999999994</v>
      </c>
      <c r="S5" s="137">
        <f t="shared" si="0"/>
        <v>6.850000000000023</v>
      </c>
      <c r="T5" s="137">
        <f aca="true" t="shared" si="1" ref="T5:AB19">$B5*(1+0.2*T$3*T$3)-273</f>
        <v>18.815999999999974</v>
      </c>
      <c r="U5" s="137">
        <f t="shared" si="1"/>
        <v>31.55400000000003</v>
      </c>
      <c r="V5" s="137">
        <f t="shared" si="1"/>
        <v>45.06400000000002</v>
      </c>
      <c r="W5" s="137">
        <f t="shared" si="1"/>
        <v>59.346000000000004</v>
      </c>
      <c r="X5" s="138">
        <f t="shared" si="1"/>
        <v>74.40000000000003</v>
      </c>
      <c r="Y5" s="137">
        <f t="shared" si="1"/>
        <v>106.82400000000001</v>
      </c>
      <c r="Z5" s="137">
        <f t="shared" si="1"/>
        <v>161.25</v>
      </c>
      <c r="AA5" s="137">
        <f t="shared" si="1"/>
        <v>267.4000000000001</v>
      </c>
      <c r="AB5" s="137">
        <f t="shared" si="1"/>
        <v>537.6</v>
      </c>
    </row>
    <row r="6" spans="1:28" ht="15">
      <c r="A6" s="136">
        <v>-75</v>
      </c>
      <c r="B6" s="125">
        <f aca="true" t="shared" si="2" ref="B6:B41">A6+273</f>
        <v>198</v>
      </c>
      <c r="D6" s="137">
        <f t="shared" si="0"/>
        <v>-74.60400000000001</v>
      </c>
      <c r="E6" s="137">
        <f t="shared" si="0"/>
        <v>-73.416</v>
      </c>
      <c r="F6" s="137">
        <f t="shared" si="0"/>
        <v>-71.436</v>
      </c>
      <c r="G6" s="137">
        <f t="shared" si="0"/>
        <v>-68.66399999999999</v>
      </c>
      <c r="H6" s="137">
        <f t="shared" si="0"/>
        <v>-65.1</v>
      </c>
      <c r="I6" s="137">
        <f t="shared" si="0"/>
        <v>-60.744</v>
      </c>
      <c r="J6" s="137">
        <f t="shared" si="0"/>
        <v>-55.595999999999975</v>
      </c>
      <c r="K6" s="137">
        <f t="shared" si="0"/>
        <v>-49.65599999999998</v>
      </c>
      <c r="L6" s="138">
        <f t="shared" si="0"/>
        <v>-46.38899999999998</v>
      </c>
      <c r="M6" s="137">
        <f t="shared" si="0"/>
        <v>-42.92400000000001</v>
      </c>
      <c r="N6" s="137">
        <f t="shared" si="0"/>
        <v>-35.400000000000006</v>
      </c>
      <c r="O6" s="137">
        <f t="shared" si="0"/>
        <v>-27.084000000000003</v>
      </c>
      <c r="P6" s="137">
        <f t="shared" si="0"/>
        <v>-17.976</v>
      </c>
      <c r="Q6" s="137">
        <f t="shared" si="0"/>
        <v>-8.075999999999965</v>
      </c>
      <c r="R6" s="137">
        <f t="shared" si="0"/>
        <v>2.6159999999999854</v>
      </c>
      <c r="S6" s="137">
        <f t="shared" si="0"/>
        <v>14.100000000000023</v>
      </c>
      <c r="T6" s="137">
        <f t="shared" si="1"/>
        <v>26.375999999999976</v>
      </c>
      <c r="U6" s="137">
        <f t="shared" si="1"/>
        <v>39.44400000000002</v>
      </c>
      <c r="V6" s="137">
        <f t="shared" si="1"/>
        <v>53.30400000000003</v>
      </c>
      <c r="W6" s="137">
        <f t="shared" si="1"/>
        <v>67.95600000000002</v>
      </c>
      <c r="X6" s="138">
        <f t="shared" si="1"/>
        <v>83.40000000000003</v>
      </c>
      <c r="Y6" s="137">
        <f t="shared" si="1"/>
        <v>116.66400000000004</v>
      </c>
      <c r="Z6" s="137">
        <f t="shared" si="1"/>
        <v>172.5</v>
      </c>
      <c r="AA6" s="137">
        <f t="shared" si="1"/>
        <v>281.4000000000001</v>
      </c>
      <c r="AB6" s="137">
        <f t="shared" si="1"/>
        <v>558.6</v>
      </c>
    </row>
    <row r="7" spans="1:28" ht="15.75" thickBot="1">
      <c r="A7" s="136">
        <v>-70</v>
      </c>
      <c r="B7" s="125">
        <f t="shared" si="2"/>
        <v>203</v>
      </c>
      <c r="D7" s="137">
        <f t="shared" si="0"/>
        <v>-69.594</v>
      </c>
      <c r="E7" s="137">
        <f t="shared" si="0"/>
        <v>-68.376</v>
      </c>
      <c r="F7" s="137">
        <f t="shared" si="0"/>
        <v>-66.346</v>
      </c>
      <c r="G7" s="137">
        <f t="shared" si="0"/>
        <v>-63.50399999999999</v>
      </c>
      <c r="H7" s="137">
        <f t="shared" si="0"/>
        <v>-59.849999999999994</v>
      </c>
      <c r="I7" s="137">
        <f t="shared" si="0"/>
        <v>-55.383999999999986</v>
      </c>
      <c r="J7" s="137">
        <f t="shared" si="0"/>
        <v>-50.105999999999995</v>
      </c>
      <c r="K7" s="137">
        <f t="shared" si="0"/>
        <v>-44.01599999999996</v>
      </c>
      <c r="L7" s="138">
        <f t="shared" si="0"/>
        <v>-40.666499999999985</v>
      </c>
      <c r="M7" s="137">
        <f t="shared" si="0"/>
        <v>-37.114000000000004</v>
      </c>
      <c r="N7" s="137">
        <f t="shared" si="0"/>
        <v>-29.400000000000006</v>
      </c>
      <c r="O7" s="137">
        <f t="shared" si="0"/>
        <v>-20.873999999999995</v>
      </c>
      <c r="P7" s="137">
        <f t="shared" si="0"/>
        <v>-11.536000000000001</v>
      </c>
      <c r="Q7" s="137">
        <f t="shared" si="0"/>
        <v>-1.3859999999999673</v>
      </c>
      <c r="R7" s="137">
        <f t="shared" si="0"/>
        <v>9.575999999999965</v>
      </c>
      <c r="S7" s="137">
        <f t="shared" si="0"/>
        <v>21.350000000000023</v>
      </c>
      <c r="T7" s="137">
        <f t="shared" si="1"/>
        <v>33.93599999999998</v>
      </c>
      <c r="U7" s="137">
        <f t="shared" si="1"/>
        <v>47.334</v>
      </c>
      <c r="V7" s="137">
        <f t="shared" si="1"/>
        <v>61.54400000000004</v>
      </c>
      <c r="W7" s="137">
        <f t="shared" si="1"/>
        <v>76.56599999999997</v>
      </c>
      <c r="X7" s="138">
        <f t="shared" si="1"/>
        <v>92.40000000000003</v>
      </c>
      <c r="Y7" s="137">
        <f t="shared" si="1"/>
        <v>126.50400000000002</v>
      </c>
      <c r="Z7" s="137">
        <f t="shared" si="1"/>
        <v>183.75</v>
      </c>
      <c r="AA7" s="137">
        <f t="shared" si="1"/>
        <v>295.4000000000001</v>
      </c>
      <c r="AB7" s="137">
        <f t="shared" si="1"/>
        <v>579.6</v>
      </c>
    </row>
    <row r="8" spans="1:28" ht="18.75">
      <c r="A8" s="136">
        <v>-65</v>
      </c>
      <c r="B8" s="125">
        <f t="shared" si="2"/>
        <v>208</v>
      </c>
      <c r="D8" s="137">
        <f t="shared" si="0"/>
        <v>-64.584</v>
      </c>
      <c r="E8" s="137">
        <f t="shared" si="0"/>
        <v>-63.33600000000001</v>
      </c>
      <c r="F8" s="137">
        <f t="shared" si="0"/>
        <v>-61.256</v>
      </c>
      <c r="G8" s="137">
        <f t="shared" si="0"/>
        <v>-58.343999999999994</v>
      </c>
      <c r="H8" s="137">
        <f t="shared" si="0"/>
        <v>-54.599999999999994</v>
      </c>
      <c r="I8" s="137">
        <f t="shared" si="0"/>
        <v>-50.024</v>
      </c>
      <c r="J8" s="137">
        <f t="shared" si="0"/>
        <v>-44.615999999999985</v>
      </c>
      <c r="K8" s="137">
        <f t="shared" si="0"/>
        <v>-38.375999999999976</v>
      </c>
      <c r="L8" s="138">
        <f t="shared" si="0"/>
        <v>-34.94399999999999</v>
      </c>
      <c r="M8" s="137">
        <f t="shared" si="0"/>
        <v>-31.30400000000003</v>
      </c>
      <c r="N8" s="137">
        <f t="shared" si="0"/>
        <v>-23.400000000000006</v>
      </c>
      <c r="O8" s="137">
        <f t="shared" si="0"/>
        <v>-14.663999999999987</v>
      </c>
      <c r="P8" s="137">
        <f t="shared" si="0"/>
        <v>-5.096000000000004</v>
      </c>
      <c r="Q8" s="137">
        <f t="shared" si="0"/>
        <v>5.3040000000000305</v>
      </c>
      <c r="R8" s="137">
        <f t="shared" si="0"/>
        <v>16.536</v>
      </c>
      <c r="S8" s="137">
        <f t="shared" si="0"/>
        <v>28.600000000000023</v>
      </c>
      <c r="T8" s="137">
        <f t="shared" si="1"/>
        <v>41.49599999999998</v>
      </c>
      <c r="U8" s="137">
        <f t="shared" si="1"/>
        <v>55.22399999999999</v>
      </c>
      <c r="V8" s="139">
        <f t="shared" si="1"/>
        <v>69.78400000000005</v>
      </c>
      <c r="W8" s="140">
        <f t="shared" si="1"/>
        <v>85.17599999999999</v>
      </c>
      <c r="X8" s="141">
        <f t="shared" si="1"/>
        <v>101.40000000000003</v>
      </c>
      <c r="Y8" s="140">
        <f t="shared" si="1"/>
        <v>136.34400000000005</v>
      </c>
      <c r="Z8" s="142">
        <f t="shared" si="1"/>
        <v>195</v>
      </c>
      <c r="AA8" s="137">
        <f t="shared" si="1"/>
        <v>309.4000000000001</v>
      </c>
      <c r="AB8" s="137">
        <f t="shared" si="1"/>
        <v>600.6</v>
      </c>
    </row>
    <row r="9" spans="1:28" ht="19.5" thickBot="1">
      <c r="A9" s="136">
        <v>-60</v>
      </c>
      <c r="B9" s="125">
        <f t="shared" si="2"/>
        <v>213</v>
      </c>
      <c r="D9" s="137">
        <f t="shared" si="0"/>
        <v>-59.57400000000001</v>
      </c>
      <c r="E9" s="137">
        <f t="shared" si="0"/>
        <v>-58.29599999999999</v>
      </c>
      <c r="F9" s="137">
        <f t="shared" si="0"/>
        <v>-56.166</v>
      </c>
      <c r="G9" s="137">
        <f t="shared" si="0"/>
        <v>-53.184</v>
      </c>
      <c r="H9" s="137">
        <f t="shared" si="0"/>
        <v>-49.349999999999994</v>
      </c>
      <c r="I9" s="137">
        <f t="shared" si="0"/>
        <v>-44.66399999999999</v>
      </c>
      <c r="J9" s="137">
        <f t="shared" si="0"/>
        <v>-39.125999999999976</v>
      </c>
      <c r="K9" s="137">
        <f t="shared" si="0"/>
        <v>-32.73599999999999</v>
      </c>
      <c r="L9" s="138">
        <f t="shared" si="0"/>
        <v>-29.221499999999992</v>
      </c>
      <c r="M9" s="137">
        <f t="shared" si="0"/>
        <v>-25.494000000000028</v>
      </c>
      <c r="N9" s="137">
        <f t="shared" si="0"/>
        <v>-17.400000000000006</v>
      </c>
      <c r="O9" s="137">
        <f t="shared" si="0"/>
        <v>-8.454000000000008</v>
      </c>
      <c r="P9" s="137">
        <f t="shared" si="0"/>
        <v>1.343999999999994</v>
      </c>
      <c r="Q9" s="137">
        <f t="shared" si="0"/>
        <v>11.994000000000028</v>
      </c>
      <c r="R9" s="137">
        <f t="shared" si="0"/>
        <v>23.49599999999998</v>
      </c>
      <c r="S9" s="137">
        <f t="shared" si="0"/>
        <v>35.85000000000002</v>
      </c>
      <c r="T9" s="137">
        <f t="shared" si="1"/>
        <v>49.05599999999998</v>
      </c>
      <c r="U9" s="137">
        <f t="shared" si="1"/>
        <v>63.11400000000003</v>
      </c>
      <c r="V9" s="143">
        <f t="shared" si="1"/>
        <v>78.024</v>
      </c>
      <c r="W9" s="144">
        <f t="shared" si="1"/>
        <v>93.786</v>
      </c>
      <c r="X9" s="145">
        <f t="shared" si="1"/>
        <v>110.40000000000003</v>
      </c>
      <c r="Y9" s="144">
        <f t="shared" si="1"/>
        <v>146.18400000000003</v>
      </c>
      <c r="Z9" s="146">
        <f t="shared" si="1"/>
        <v>206.25</v>
      </c>
      <c r="AA9" s="137">
        <f t="shared" si="1"/>
        <v>323.4000000000001</v>
      </c>
      <c r="AB9" s="137">
        <f t="shared" si="1"/>
        <v>621.6</v>
      </c>
    </row>
    <row r="10" spans="1:29" s="157" customFormat="1" ht="24.75" thickBot="1" thickTop="1">
      <c r="A10" s="147">
        <v>-55</v>
      </c>
      <c r="B10" s="148">
        <f t="shared" si="2"/>
        <v>218</v>
      </c>
      <c r="C10" s="148"/>
      <c r="D10" s="149">
        <f t="shared" si="0"/>
        <v>-54.56399999999999</v>
      </c>
      <c r="E10" s="149">
        <f t="shared" si="0"/>
        <v>-53.256</v>
      </c>
      <c r="F10" s="149">
        <f t="shared" si="0"/>
        <v>-51.07599999999999</v>
      </c>
      <c r="G10" s="149">
        <f t="shared" si="0"/>
        <v>-48.024</v>
      </c>
      <c r="H10" s="149">
        <f t="shared" si="0"/>
        <v>-44.099999999999994</v>
      </c>
      <c r="I10" s="149">
        <f t="shared" si="0"/>
        <v>-39.303999999999974</v>
      </c>
      <c r="J10" s="149">
        <f t="shared" si="0"/>
        <v>-33.63599999999997</v>
      </c>
      <c r="K10" s="149">
        <f t="shared" si="0"/>
        <v>-27.095999999999975</v>
      </c>
      <c r="L10" s="150">
        <f t="shared" si="0"/>
        <v>-23.498999999999995</v>
      </c>
      <c r="M10" s="149">
        <f t="shared" si="0"/>
        <v>-19.684000000000026</v>
      </c>
      <c r="N10" s="149">
        <f t="shared" si="0"/>
        <v>-11.400000000000034</v>
      </c>
      <c r="O10" s="149">
        <f t="shared" si="0"/>
        <v>-2.244000000000028</v>
      </c>
      <c r="P10" s="149">
        <f t="shared" si="0"/>
        <v>7.783999999999992</v>
      </c>
      <c r="Q10" s="149">
        <f t="shared" si="0"/>
        <v>18.684000000000026</v>
      </c>
      <c r="R10" s="149">
        <f t="shared" si="0"/>
        <v>30.45599999999996</v>
      </c>
      <c r="S10" s="149">
        <f t="shared" si="0"/>
        <v>43.10000000000002</v>
      </c>
      <c r="T10" s="149">
        <f t="shared" si="1"/>
        <v>56.615999999999985</v>
      </c>
      <c r="U10" s="149">
        <f t="shared" si="1"/>
        <v>71.00400000000002</v>
      </c>
      <c r="V10" s="151">
        <f t="shared" si="1"/>
        <v>86.26400000000001</v>
      </c>
      <c r="W10" s="152">
        <f t="shared" si="1"/>
        <v>102.39600000000002</v>
      </c>
      <c r="X10" s="153">
        <f t="shared" si="1"/>
        <v>119.40000000000003</v>
      </c>
      <c r="Y10" s="152">
        <f t="shared" si="1"/>
        <v>156.02400000000006</v>
      </c>
      <c r="Z10" s="154">
        <f t="shared" si="1"/>
        <v>217.5</v>
      </c>
      <c r="AA10" s="155">
        <f t="shared" si="1"/>
        <v>337.4000000000001</v>
      </c>
      <c r="AB10" s="155">
        <f t="shared" si="1"/>
        <v>642.6</v>
      </c>
      <c r="AC10" s="156" t="s">
        <v>326</v>
      </c>
    </row>
    <row r="11" spans="1:28" s="164" customFormat="1" ht="19.5" thickTop="1">
      <c r="A11" s="158">
        <v>-50</v>
      </c>
      <c r="B11" s="159">
        <f t="shared" si="2"/>
        <v>223</v>
      </c>
      <c r="C11" s="159"/>
      <c r="D11" s="160">
        <f t="shared" si="0"/>
        <v>-49.554</v>
      </c>
      <c r="E11" s="160">
        <f t="shared" si="0"/>
        <v>-48.21600000000001</v>
      </c>
      <c r="F11" s="160">
        <f t="shared" si="0"/>
        <v>-45.98599999999999</v>
      </c>
      <c r="G11" s="160">
        <f t="shared" si="0"/>
        <v>-42.864000000000004</v>
      </c>
      <c r="H11" s="160">
        <f t="shared" si="0"/>
        <v>-38.849999999999994</v>
      </c>
      <c r="I11" s="160">
        <f t="shared" si="0"/>
        <v>-33.94399999999999</v>
      </c>
      <c r="J11" s="160">
        <f t="shared" si="0"/>
        <v>-28.145999999999987</v>
      </c>
      <c r="K11" s="160">
        <f t="shared" si="0"/>
        <v>-21.45599999999996</v>
      </c>
      <c r="L11" s="138">
        <f t="shared" si="0"/>
        <v>-17.77649999999997</v>
      </c>
      <c r="M11" s="160">
        <f t="shared" si="0"/>
        <v>-13.874000000000024</v>
      </c>
      <c r="N11" s="160">
        <f t="shared" si="0"/>
        <v>-5.400000000000034</v>
      </c>
      <c r="O11" s="160">
        <f t="shared" si="0"/>
        <v>3.966000000000008</v>
      </c>
      <c r="P11" s="160">
        <f t="shared" si="0"/>
        <v>14.22399999999999</v>
      </c>
      <c r="Q11" s="160">
        <f t="shared" si="0"/>
        <v>25.374000000000024</v>
      </c>
      <c r="R11" s="160">
        <f t="shared" si="0"/>
        <v>37.416</v>
      </c>
      <c r="S11" s="160">
        <f t="shared" si="0"/>
        <v>50.35000000000002</v>
      </c>
      <c r="T11" s="160">
        <f t="shared" si="1"/>
        <v>64.17599999999999</v>
      </c>
      <c r="U11" s="160">
        <f t="shared" si="1"/>
        <v>78.894</v>
      </c>
      <c r="V11" s="161">
        <f t="shared" si="1"/>
        <v>94.50400000000002</v>
      </c>
      <c r="W11" s="162">
        <f t="shared" si="1"/>
        <v>111.00599999999997</v>
      </c>
      <c r="X11" s="145">
        <f t="shared" si="1"/>
        <v>128.40000000000003</v>
      </c>
      <c r="Y11" s="162">
        <f t="shared" si="1"/>
        <v>165.86400000000003</v>
      </c>
      <c r="Z11" s="163">
        <f t="shared" si="1"/>
        <v>228.75</v>
      </c>
      <c r="AA11" s="160">
        <f t="shared" si="1"/>
        <v>351.4000000000001</v>
      </c>
      <c r="AB11" s="160">
        <f t="shared" si="1"/>
        <v>663.6</v>
      </c>
    </row>
    <row r="12" spans="1:28" ht="18.75">
      <c r="A12" s="136">
        <v>-45</v>
      </c>
      <c r="B12" s="125">
        <f t="shared" si="2"/>
        <v>228</v>
      </c>
      <c r="D12" s="137">
        <f t="shared" si="0"/>
        <v>-44.54400000000001</v>
      </c>
      <c r="E12" s="137">
        <f t="shared" si="0"/>
        <v>-43.17599999999999</v>
      </c>
      <c r="F12" s="137">
        <f t="shared" si="0"/>
        <v>-40.89599999999999</v>
      </c>
      <c r="G12" s="137">
        <f t="shared" si="0"/>
        <v>-37.70400000000001</v>
      </c>
      <c r="H12" s="137">
        <f t="shared" si="0"/>
        <v>-33.599999999999994</v>
      </c>
      <c r="I12" s="137">
        <f t="shared" si="0"/>
        <v>-28.583999999999975</v>
      </c>
      <c r="J12" s="137">
        <f t="shared" si="0"/>
        <v>-22.655999999999977</v>
      </c>
      <c r="K12" s="137">
        <f t="shared" si="0"/>
        <v>-15.815999999999974</v>
      </c>
      <c r="L12" s="138">
        <f t="shared" si="0"/>
        <v>-12.053999999999974</v>
      </c>
      <c r="M12" s="137">
        <f t="shared" si="0"/>
        <v>-8.064000000000021</v>
      </c>
      <c r="N12" s="137">
        <f t="shared" si="0"/>
        <v>0.5999999999999659</v>
      </c>
      <c r="O12" s="137">
        <f t="shared" si="0"/>
        <v>10.175999999999988</v>
      </c>
      <c r="P12" s="137">
        <f t="shared" si="0"/>
        <v>20.663999999999987</v>
      </c>
      <c r="Q12" s="137">
        <f t="shared" si="0"/>
        <v>32.06400000000002</v>
      </c>
      <c r="R12" s="137">
        <f t="shared" si="0"/>
        <v>44.375999999999976</v>
      </c>
      <c r="S12" s="137">
        <f t="shared" si="0"/>
        <v>57.60000000000002</v>
      </c>
      <c r="T12" s="137">
        <f t="shared" si="1"/>
        <v>71.73599999999999</v>
      </c>
      <c r="U12" s="137">
        <f t="shared" si="1"/>
        <v>86.78399999999999</v>
      </c>
      <c r="V12" s="143">
        <f t="shared" si="1"/>
        <v>102.74400000000003</v>
      </c>
      <c r="W12" s="144">
        <f t="shared" si="1"/>
        <v>119.61599999999999</v>
      </c>
      <c r="X12" s="145">
        <f t="shared" si="1"/>
        <v>137.40000000000003</v>
      </c>
      <c r="Y12" s="144">
        <f t="shared" si="1"/>
        <v>175.70400000000006</v>
      </c>
      <c r="Z12" s="146">
        <f t="shared" si="1"/>
        <v>240</v>
      </c>
      <c r="AA12" s="137">
        <f t="shared" si="1"/>
        <v>365.4000000000001</v>
      </c>
      <c r="AB12" s="137">
        <f t="shared" si="1"/>
        <v>684.6</v>
      </c>
    </row>
    <row r="13" spans="1:28" ht="19.5" thickBot="1">
      <c r="A13" s="136">
        <v>-40</v>
      </c>
      <c r="B13" s="125">
        <f t="shared" si="2"/>
        <v>233</v>
      </c>
      <c r="D13" s="137">
        <f t="shared" si="0"/>
        <v>-39.53399999999999</v>
      </c>
      <c r="E13" s="137">
        <f t="shared" si="0"/>
        <v>-38.135999999999996</v>
      </c>
      <c r="F13" s="137">
        <f t="shared" si="0"/>
        <v>-35.80599999999998</v>
      </c>
      <c r="G13" s="137">
        <f t="shared" si="0"/>
        <v>-32.54399999999998</v>
      </c>
      <c r="H13" s="137">
        <f t="shared" si="0"/>
        <v>-28.349999999999994</v>
      </c>
      <c r="I13" s="137">
        <f t="shared" si="0"/>
        <v>-23.22399999999999</v>
      </c>
      <c r="J13" s="137">
        <f t="shared" si="0"/>
        <v>-17.16599999999997</v>
      </c>
      <c r="K13" s="137">
        <f t="shared" si="0"/>
        <v>-10.175999999999988</v>
      </c>
      <c r="L13" s="138">
        <f t="shared" si="0"/>
        <v>-6.3315000000000055</v>
      </c>
      <c r="M13" s="137">
        <f t="shared" si="0"/>
        <v>-2.254000000000019</v>
      </c>
      <c r="N13" s="137">
        <f t="shared" si="0"/>
        <v>6.599999999999966</v>
      </c>
      <c r="O13" s="137">
        <f t="shared" si="0"/>
        <v>16.386000000000024</v>
      </c>
      <c r="P13" s="137">
        <f t="shared" si="0"/>
        <v>27.103999999999985</v>
      </c>
      <c r="Q13" s="137">
        <f t="shared" si="0"/>
        <v>38.75400000000002</v>
      </c>
      <c r="R13" s="137">
        <f t="shared" si="0"/>
        <v>51.335999999999956</v>
      </c>
      <c r="S13" s="137">
        <f t="shared" si="0"/>
        <v>64.85000000000002</v>
      </c>
      <c r="T13" s="137">
        <f t="shared" si="1"/>
        <v>79.29599999999999</v>
      </c>
      <c r="U13" s="137">
        <f t="shared" si="1"/>
        <v>94.67400000000004</v>
      </c>
      <c r="V13" s="165">
        <f t="shared" si="1"/>
        <v>110.98400000000004</v>
      </c>
      <c r="W13" s="166">
        <f t="shared" si="1"/>
        <v>128.226</v>
      </c>
      <c r="X13" s="167">
        <f t="shared" si="1"/>
        <v>146.40000000000003</v>
      </c>
      <c r="Y13" s="166">
        <f t="shared" si="1"/>
        <v>185.54400000000004</v>
      </c>
      <c r="Z13" s="168">
        <f t="shared" si="1"/>
        <v>251.25</v>
      </c>
      <c r="AA13" s="137">
        <f t="shared" si="1"/>
        <v>379.4000000000001</v>
      </c>
      <c r="AB13" s="137">
        <f t="shared" si="1"/>
        <v>705.6</v>
      </c>
    </row>
    <row r="14" spans="1:28" ht="15">
      <c r="A14" s="136">
        <v>-35</v>
      </c>
      <c r="B14" s="125">
        <f t="shared" si="2"/>
        <v>238</v>
      </c>
      <c r="D14" s="137">
        <f t="shared" si="0"/>
        <v>-34.524</v>
      </c>
      <c r="E14" s="137">
        <f t="shared" si="0"/>
        <v>-33.096000000000004</v>
      </c>
      <c r="F14" s="137">
        <f t="shared" si="0"/>
        <v>-30.716000000000008</v>
      </c>
      <c r="G14" s="137">
        <f t="shared" si="0"/>
        <v>-27.383999999999986</v>
      </c>
      <c r="H14" s="137">
        <f t="shared" si="0"/>
        <v>-23.099999999999994</v>
      </c>
      <c r="I14" s="137">
        <f t="shared" si="0"/>
        <v>-17.863999999999976</v>
      </c>
      <c r="J14" s="137">
        <f t="shared" si="0"/>
        <v>-11.675999999999988</v>
      </c>
      <c r="K14" s="137">
        <f t="shared" si="0"/>
        <v>-4.5359999999999445</v>
      </c>
      <c r="L14" s="138">
        <f t="shared" si="0"/>
        <v>-0.6089999999999804</v>
      </c>
      <c r="M14" s="137">
        <f t="shared" si="0"/>
        <v>3.555999999999983</v>
      </c>
      <c r="N14" s="137">
        <f t="shared" si="0"/>
        <v>12.599999999999966</v>
      </c>
      <c r="O14" s="137">
        <f t="shared" si="0"/>
        <v>22.596000000000004</v>
      </c>
      <c r="P14" s="137">
        <f t="shared" si="0"/>
        <v>33.54399999999998</v>
      </c>
      <c r="Q14" s="137">
        <f t="shared" si="0"/>
        <v>45.44400000000002</v>
      </c>
      <c r="R14" s="137">
        <f t="shared" si="0"/>
        <v>58.29599999999999</v>
      </c>
      <c r="S14" s="137">
        <f t="shared" si="0"/>
        <v>72.10000000000002</v>
      </c>
      <c r="T14" s="137">
        <f t="shared" si="1"/>
        <v>86.856</v>
      </c>
      <c r="U14" s="137">
        <f t="shared" si="1"/>
        <v>102.56400000000002</v>
      </c>
      <c r="V14" s="137">
        <f t="shared" si="1"/>
        <v>119.22400000000005</v>
      </c>
      <c r="W14" s="137">
        <f t="shared" si="1"/>
        <v>136.836</v>
      </c>
      <c r="X14" s="138">
        <f t="shared" si="1"/>
        <v>155.40000000000003</v>
      </c>
      <c r="Y14" s="137">
        <f t="shared" si="1"/>
        <v>195.38400000000007</v>
      </c>
      <c r="Z14" s="137">
        <f t="shared" si="1"/>
        <v>262.5</v>
      </c>
      <c r="AA14" s="137">
        <f t="shared" si="1"/>
        <v>393.4000000000001</v>
      </c>
      <c r="AB14" s="137">
        <f t="shared" si="1"/>
        <v>726.6</v>
      </c>
    </row>
    <row r="15" spans="1:28" ht="15">
      <c r="A15" s="136">
        <v>-30</v>
      </c>
      <c r="B15" s="125">
        <f t="shared" si="2"/>
        <v>243</v>
      </c>
      <c r="D15" s="137">
        <f t="shared" si="0"/>
        <v>-29.51400000000001</v>
      </c>
      <c r="E15" s="137">
        <f t="shared" si="0"/>
        <v>-28.05600000000001</v>
      </c>
      <c r="F15" s="137">
        <f t="shared" si="0"/>
        <v>-25.626000000000005</v>
      </c>
      <c r="G15" s="137">
        <f t="shared" si="0"/>
        <v>-22.22399999999999</v>
      </c>
      <c r="H15" s="137">
        <f t="shared" si="0"/>
        <v>-17.849999999999994</v>
      </c>
      <c r="I15" s="137">
        <f t="shared" si="0"/>
        <v>-12.503999999999962</v>
      </c>
      <c r="J15" s="137">
        <f t="shared" si="0"/>
        <v>-6.185999999999979</v>
      </c>
      <c r="K15" s="137">
        <f t="shared" si="0"/>
        <v>1.1040000000000418</v>
      </c>
      <c r="L15" s="138">
        <f t="shared" si="0"/>
        <v>5.113500000000045</v>
      </c>
      <c r="M15" s="137">
        <f t="shared" si="0"/>
        <v>9.365999999999985</v>
      </c>
      <c r="N15" s="137">
        <f t="shared" si="0"/>
        <v>18.599999999999966</v>
      </c>
      <c r="O15" s="137">
        <f t="shared" si="0"/>
        <v>28.805999999999983</v>
      </c>
      <c r="P15" s="137">
        <f t="shared" si="0"/>
        <v>39.98399999999998</v>
      </c>
      <c r="Q15" s="137">
        <f t="shared" si="0"/>
        <v>52.134000000000015</v>
      </c>
      <c r="R15" s="137">
        <f t="shared" si="0"/>
        <v>65.25599999999997</v>
      </c>
      <c r="S15" s="137">
        <f t="shared" si="0"/>
        <v>79.35000000000002</v>
      </c>
      <c r="T15" s="137">
        <f t="shared" si="1"/>
        <v>94.416</v>
      </c>
      <c r="U15" s="137">
        <f t="shared" si="1"/>
        <v>110.45400000000001</v>
      </c>
      <c r="V15" s="137">
        <f t="shared" si="1"/>
        <v>127.46400000000006</v>
      </c>
      <c r="W15" s="137">
        <f t="shared" si="1"/>
        <v>145.44599999999997</v>
      </c>
      <c r="X15" s="138">
        <f t="shared" si="1"/>
        <v>164.40000000000003</v>
      </c>
      <c r="Y15" s="137">
        <f t="shared" si="1"/>
        <v>205.22400000000005</v>
      </c>
      <c r="Z15" s="137">
        <f t="shared" si="1"/>
        <v>273.75</v>
      </c>
      <c r="AA15" s="137">
        <f t="shared" si="1"/>
        <v>407.4000000000001</v>
      </c>
      <c r="AB15" s="137">
        <f t="shared" si="1"/>
        <v>747.6</v>
      </c>
    </row>
    <row r="16" spans="1:28" ht="15">
      <c r="A16" s="136">
        <v>-25</v>
      </c>
      <c r="B16" s="125">
        <f t="shared" si="2"/>
        <v>248</v>
      </c>
      <c r="D16" s="137">
        <f t="shared" si="0"/>
        <v>-24.50399999999999</v>
      </c>
      <c r="E16" s="137">
        <f t="shared" si="0"/>
        <v>-23.01599999999999</v>
      </c>
      <c r="F16" s="137">
        <f t="shared" si="0"/>
        <v>-20.536</v>
      </c>
      <c r="G16" s="137">
        <f t="shared" si="0"/>
        <v>-17.063999999999993</v>
      </c>
      <c r="H16" s="137">
        <f t="shared" si="0"/>
        <v>-12.599999999999966</v>
      </c>
      <c r="I16" s="137">
        <f t="shared" si="0"/>
        <v>-7.1440000000000055</v>
      </c>
      <c r="J16" s="137">
        <f t="shared" si="0"/>
        <v>-0.6959999999999695</v>
      </c>
      <c r="K16" s="137">
        <f t="shared" si="0"/>
        <v>6.744000000000028</v>
      </c>
      <c r="L16" s="138">
        <f t="shared" si="0"/>
        <v>10.836000000000013</v>
      </c>
      <c r="M16" s="137">
        <f t="shared" si="0"/>
        <v>15.175999999999988</v>
      </c>
      <c r="N16" s="137">
        <f t="shared" si="0"/>
        <v>24.599999999999966</v>
      </c>
      <c r="O16" s="137">
        <f t="shared" si="0"/>
        <v>35.01600000000002</v>
      </c>
      <c r="P16" s="137">
        <f t="shared" si="0"/>
        <v>46.424000000000035</v>
      </c>
      <c r="Q16" s="137">
        <f t="shared" si="0"/>
        <v>58.82400000000001</v>
      </c>
      <c r="R16" s="137">
        <f t="shared" si="0"/>
        <v>72.21599999999995</v>
      </c>
      <c r="S16" s="137">
        <f t="shared" si="0"/>
        <v>86.60000000000002</v>
      </c>
      <c r="T16" s="137">
        <f t="shared" si="1"/>
        <v>101.976</v>
      </c>
      <c r="U16" s="137">
        <f t="shared" si="1"/>
        <v>118.344</v>
      </c>
      <c r="V16" s="137">
        <f t="shared" si="1"/>
        <v>135.704</v>
      </c>
      <c r="W16" s="137">
        <f t="shared" si="1"/>
        <v>154.05599999999998</v>
      </c>
      <c r="X16" s="138">
        <f t="shared" si="1"/>
        <v>173.40000000000003</v>
      </c>
      <c r="Y16" s="137">
        <f t="shared" si="1"/>
        <v>215.06400000000002</v>
      </c>
      <c r="Z16" s="137">
        <f t="shared" si="1"/>
        <v>285</v>
      </c>
      <c r="AA16" s="137">
        <f t="shared" si="1"/>
        <v>421.4000000000001</v>
      </c>
      <c r="AB16" s="137">
        <f t="shared" si="1"/>
        <v>768.6000000000001</v>
      </c>
    </row>
    <row r="17" spans="1:28" ht="15">
      <c r="A17" s="136">
        <v>-20</v>
      </c>
      <c r="B17" s="125">
        <f t="shared" si="2"/>
        <v>253</v>
      </c>
      <c r="D17" s="137">
        <f t="shared" si="0"/>
        <v>-19.494</v>
      </c>
      <c r="E17" s="137">
        <f t="shared" si="0"/>
        <v>-17.976</v>
      </c>
      <c r="F17" s="137">
        <f t="shared" si="0"/>
        <v>-15.44599999999997</v>
      </c>
      <c r="G17" s="137">
        <f t="shared" si="0"/>
        <v>-11.903999999999996</v>
      </c>
      <c r="H17" s="137">
        <f t="shared" si="0"/>
        <v>-7.349999999999966</v>
      </c>
      <c r="I17" s="137">
        <f t="shared" si="0"/>
        <v>-1.7839999999999918</v>
      </c>
      <c r="J17" s="137">
        <f t="shared" si="0"/>
        <v>4.79400000000004</v>
      </c>
      <c r="K17" s="137">
        <f t="shared" si="0"/>
        <v>12.384000000000015</v>
      </c>
      <c r="L17" s="138">
        <f t="shared" si="0"/>
        <v>16.558500000000038</v>
      </c>
      <c r="M17" s="137">
        <f t="shared" si="0"/>
        <v>20.98599999999999</v>
      </c>
      <c r="N17" s="137">
        <f t="shared" si="0"/>
        <v>30.599999999999966</v>
      </c>
      <c r="O17" s="137">
        <f t="shared" si="0"/>
        <v>41.226</v>
      </c>
      <c r="P17" s="137">
        <f t="shared" si="0"/>
        <v>52.86400000000003</v>
      </c>
      <c r="Q17" s="137">
        <f t="shared" si="0"/>
        <v>65.51400000000001</v>
      </c>
      <c r="R17" s="137">
        <f t="shared" si="0"/>
        <v>79.17599999999999</v>
      </c>
      <c r="S17" s="137">
        <f t="shared" si="0"/>
        <v>93.85000000000002</v>
      </c>
      <c r="T17" s="137">
        <f t="shared" si="1"/>
        <v>109.536</v>
      </c>
      <c r="U17" s="137">
        <f t="shared" si="1"/>
        <v>126.23400000000004</v>
      </c>
      <c r="V17" s="137">
        <f t="shared" si="1"/>
        <v>143.94400000000002</v>
      </c>
      <c r="W17" s="137">
        <f t="shared" si="1"/>
        <v>162.666</v>
      </c>
      <c r="X17" s="138">
        <f t="shared" si="1"/>
        <v>182.40000000000003</v>
      </c>
      <c r="Y17" s="137">
        <f t="shared" si="1"/>
        <v>224.90400000000005</v>
      </c>
      <c r="Z17" s="137">
        <f t="shared" si="1"/>
        <v>296.25</v>
      </c>
      <c r="AA17" s="137">
        <f t="shared" si="1"/>
        <v>435.4000000000001</v>
      </c>
      <c r="AB17" s="137">
        <f t="shared" si="1"/>
        <v>789.6000000000001</v>
      </c>
    </row>
    <row r="18" spans="1:28" ht="15">
      <c r="A18" s="136">
        <v>-15</v>
      </c>
      <c r="B18" s="125">
        <f t="shared" si="2"/>
        <v>258</v>
      </c>
      <c r="D18" s="137">
        <f t="shared" si="0"/>
        <v>-14.48399999999998</v>
      </c>
      <c r="E18" s="137">
        <f t="shared" si="0"/>
        <v>-12.935999999999979</v>
      </c>
      <c r="F18" s="137">
        <f t="shared" si="0"/>
        <v>-10.355999999999995</v>
      </c>
      <c r="G18" s="137">
        <f t="shared" si="0"/>
        <v>-6.743999999999971</v>
      </c>
      <c r="H18" s="137">
        <f t="shared" si="0"/>
        <v>-2.099999999999966</v>
      </c>
      <c r="I18" s="137">
        <f t="shared" si="0"/>
        <v>3.576000000000022</v>
      </c>
      <c r="J18" s="137">
        <f t="shared" si="0"/>
        <v>10.284000000000049</v>
      </c>
      <c r="K18" s="137">
        <f t="shared" si="0"/>
        <v>18.024</v>
      </c>
      <c r="L18" s="138">
        <f t="shared" si="0"/>
        <v>22.281000000000006</v>
      </c>
      <c r="M18" s="137">
        <f t="shared" si="0"/>
        <v>26.795999999999992</v>
      </c>
      <c r="N18" s="137">
        <f t="shared" si="0"/>
        <v>36.599999999999966</v>
      </c>
      <c r="O18" s="137">
        <f t="shared" si="0"/>
        <v>47.43599999999998</v>
      </c>
      <c r="P18" s="137">
        <f t="shared" si="0"/>
        <v>59.30400000000003</v>
      </c>
      <c r="Q18" s="137">
        <f t="shared" si="0"/>
        <v>72.20400000000001</v>
      </c>
      <c r="R18" s="137">
        <f t="shared" si="0"/>
        <v>86.13599999999997</v>
      </c>
      <c r="S18" s="137">
        <f t="shared" si="0"/>
        <v>101.10000000000002</v>
      </c>
      <c r="T18" s="137">
        <f t="shared" si="1"/>
        <v>117.096</v>
      </c>
      <c r="U18" s="137">
        <f t="shared" si="1"/>
        <v>134.12400000000002</v>
      </c>
      <c r="V18" s="137">
        <f t="shared" si="1"/>
        <v>152.18400000000003</v>
      </c>
      <c r="W18" s="137">
        <f t="shared" si="1"/>
        <v>171.276</v>
      </c>
      <c r="X18" s="138">
        <f t="shared" si="1"/>
        <v>191.40000000000003</v>
      </c>
      <c r="Y18" s="137">
        <f t="shared" si="1"/>
        <v>234.74400000000003</v>
      </c>
      <c r="Z18" s="137">
        <f t="shared" si="1"/>
        <v>307.5</v>
      </c>
      <c r="AA18" s="137">
        <f t="shared" si="1"/>
        <v>449.4000000000001</v>
      </c>
      <c r="AB18" s="137">
        <f t="shared" si="1"/>
        <v>810.6000000000001</v>
      </c>
    </row>
    <row r="19" spans="1:28" ht="15">
      <c r="A19" s="136">
        <v>-10</v>
      </c>
      <c r="B19" s="125">
        <f t="shared" si="2"/>
        <v>263</v>
      </c>
      <c r="D19" s="137">
        <f t="shared" si="0"/>
        <v>-9.47399999999999</v>
      </c>
      <c r="E19" s="137">
        <f t="shared" si="0"/>
        <v>-7.896000000000015</v>
      </c>
      <c r="F19" s="137">
        <f t="shared" si="0"/>
        <v>-5.2660000000000196</v>
      </c>
      <c r="G19" s="137">
        <f t="shared" si="0"/>
        <v>-1.5840000000000032</v>
      </c>
      <c r="H19" s="137">
        <f t="shared" si="0"/>
        <v>3.150000000000034</v>
      </c>
      <c r="I19" s="137">
        <f t="shared" si="0"/>
        <v>8.936000000000035</v>
      </c>
      <c r="J19" s="137">
        <f t="shared" si="0"/>
        <v>15.774000000000001</v>
      </c>
      <c r="K19" s="137">
        <f t="shared" si="0"/>
        <v>23.664000000000044</v>
      </c>
      <c r="L19" s="138">
        <f t="shared" si="0"/>
        <v>28.00350000000003</v>
      </c>
      <c r="M19" s="137">
        <f t="shared" si="0"/>
        <v>32.605999999999995</v>
      </c>
      <c r="N19" s="137">
        <f t="shared" si="0"/>
        <v>42.599999999999966</v>
      </c>
      <c r="O19" s="137">
        <f t="shared" si="0"/>
        <v>53.646000000000015</v>
      </c>
      <c r="P19" s="137">
        <f t="shared" si="0"/>
        <v>65.74400000000003</v>
      </c>
      <c r="Q19" s="137">
        <f t="shared" si="0"/>
        <v>78.894</v>
      </c>
      <c r="R19" s="137">
        <f t="shared" si="0"/>
        <v>93.09599999999995</v>
      </c>
      <c r="S19" s="137">
        <f t="shared" si="0"/>
        <v>108.35000000000002</v>
      </c>
      <c r="T19" s="137">
        <f t="shared" si="1"/>
        <v>124.656</v>
      </c>
      <c r="U19" s="137">
        <f t="shared" si="1"/>
        <v>142.014</v>
      </c>
      <c r="V19" s="137">
        <f t="shared" si="1"/>
        <v>160.42400000000004</v>
      </c>
      <c r="W19" s="137">
        <f t="shared" si="1"/>
        <v>179.88599999999997</v>
      </c>
      <c r="X19" s="138">
        <f t="shared" si="1"/>
        <v>200.40000000000003</v>
      </c>
      <c r="Y19" s="137">
        <f t="shared" si="1"/>
        <v>244.58400000000006</v>
      </c>
      <c r="Z19" s="137">
        <f t="shared" si="1"/>
        <v>318.75</v>
      </c>
      <c r="AA19" s="137">
        <f t="shared" si="1"/>
        <v>463.4000000000001</v>
      </c>
      <c r="AB19" s="137">
        <f t="shared" si="1"/>
        <v>831.6000000000001</v>
      </c>
    </row>
    <row r="20" spans="1:28" ht="15">
      <c r="A20" s="136">
        <v>-5</v>
      </c>
      <c r="B20" s="125">
        <f t="shared" si="2"/>
        <v>268</v>
      </c>
      <c r="D20" s="137">
        <f t="shared" si="0"/>
        <v>-4.463999999999999</v>
      </c>
      <c r="E20" s="137">
        <f t="shared" si="0"/>
        <v>-2.8559999999999945</v>
      </c>
      <c r="F20" s="137">
        <f t="shared" si="0"/>
        <v>-0.17599999999998772</v>
      </c>
      <c r="G20" s="137">
        <f t="shared" si="0"/>
        <v>3.576000000000022</v>
      </c>
      <c r="H20" s="137">
        <f t="shared" si="0"/>
        <v>8.400000000000034</v>
      </c>
      <c r="I20" s="137">
        <f t="shared" si="0"/>
        <v>14.295999999999992</v>
      </c>
      <c r="J20" s="137">
        <f t="shared" si="0"/>
        <v>21.26400000000001</v>
      </c>
      <c r="K20" s="137">
        <f t="shared" si="0"/>
        <v>29.30400000000003</v>
      </c>
      <c r="L20" s="138">
        <f t="shared" si="0"/>
        <v>33.726</v>
      </c>
      <c r="M20" s="137">
        <f t="shared" si="0"/>
        <v>38.416</v>
      </c>
      <c r="N20" s="137">
        <f t="shared" si="0"/>
        <v>48.599999999999966</v>
      </c>
      <c r="O20" s="137">
        <f t="shared" si="0"/>
        <v>59.855999999999995</v>
      </c>
      <c r="P20" s="137">
        <f t="shared" si="0"/>
        <v>72.18400000000003</v>
      </c>
      <c r="Q20" s="137">
        <f t="shared" si="0"/>
        <v>85.584</v>
      </c>
      <c r="R20" s="137">
        <f t="shared" si="0"/>
        <v>100.05599999999998</v>
      </c>
      <c r="S20" s="137">
        <f aca="true" t="shared" si="3" ref="M20:AB35">$B20*(1+0.2*S$3*S$3)-273</f>
        <v>115.60000000000002</v>
      </c>
      <c r="T20" s="137">
        <f t="shared" si="3"/>
        <v>132.216</v>
      </c>
      <c r="U20" s="137">
        <f aca="true" t="shared" si="4" ref="U20:AB20">$B20*(1+0.2*U$3*U$3)-273</f>
        <v>149.904</v>
      </c>
      <c r="V20" s="137">
        <f t="shared" si="4"/>
        <v>168.66400000000004</v>
      </c>
      <c r="W20" s="137">
        <f t="shared" si="4"/>
        <v>188.49599999999998</v>
      </c>
      <c r="X20" s="138">
        <f t="shared" si="4"/>
        <v>209.40000000000003</v>
      </c>
      <c r="Y20" s="137">
        <f t="shared" si="4"/>
        <v>254.4240000000001</v>
      </c>
      <c r="Z20" s="137">
        <f t="shared" si="4"/>
        <v>330</v>
      </c>
      <c r="AA20" s="137">
        <f t="shared" si="4"/>
        <v>477.4000000000001</v>
      </c>
      <c r="AB20" s="137">
        <f t="shared" si="4"/>
        <v>852.6000000000001</v>
      </c>
    </row>
    <row r="21" spans="1:28" ht="15">
      <c r="A21" s="136">
        <v>0</v>
      </c>
      <c r="B21" s="125">
        <f t="shared" si="2"/>
        <v>273</v>
      </c>
      <c r="D21" s="137">
        <f aca="true" t="shared" si="5" ref="D21:S42">$B21*(1+0.2*D$3*D$3)-273</f>
        <v>0.5459999999999923</v>
      </c>
      <c r="E21" s="137">
        <f t="shared" si="5"/>
        <v>2.184000000000026</v>
      </c>
      <c r="F21" s="137">
        <f t="shared" si="5"/>
        <v>4.913999999999987</v>
      </c>
      <c r="G21" s="137">
        <f t="shared" si="5"/>
        <v>8.73599999999999</v>
      </c>
      <c r="H21" s="137">
        <f t="shared" si="5"/>
        <v>13.650000000000034</v>
      </c>
      <c r="I21" s="137">
        <f t="shared" si="5"/>
        <v>19.656000000000006</v>
      </c>
      <c r="J21" s="137">
        <f t="shared" si="5"/>
        <v>26.75400000000002</v>
      </c>
      <c r="K21" s="137">
        <f t="shared" si="5"/>
        <v>34.94400000000002</v>
      </c>
      <c r="L21" s="138">
        <f t="shared" si="5"/>
        <v>39.448500000000024</v>
      </c>
      <c r="M21" s="137">
        <f t="shared" si="3"/>
        <v>44.226</v>
      </c>
      <c r="N21" s="137">
        <f t="shared" si="3"/>
        <v>54.599999999999966</v>
      </c>
      <c r="O21" s="137">
        <f t="shared" si="3"/>
        <v>66.06599999999997</v>
      </c>
      <c r="P21" s="137">
        <f t="shared" si="3"/>
        <v>78.62400000000002</v>
      </c>
      <c r="Q21" s="137">
        <f t="shared" si="3"/>
        <v>92.274</v>
      </c>
      <c r="R21" s="137">
        <f t="shared" si="3"/>
        <v>107.01599999999996</v>
      </c>
      <c r="S21" s="137">
        <f t="shared" si="3"/>
        <v>122.85000000000002</v>
      </c>
      <c r="T21" s="137">
        <f t="shared" si="3"/>
        <v>139.776</v>
      </c>
      <c r="U21" s="137">
        <f t="shared" si="3"/>
        <v>157.79400000000004</v>
      </c>
      <c r="V21" s="137">
        <f t="shared" si="3"/>
        <v>176.90400000000005</v>
      </c>
      <c r="W21" s="137">
        <f t="shared" si="3"/>
        <v>197.106</v>
      </c>
      <c r="X21" s="138">
        <f t="shared" si="3"/>
        <v>218.40000000000003</v>
      </c>
      <c r="Y21" s="137">
        <f t="shared" si="3"/>
        <v>264.264</v>
      </c>
      <c r="Z21" s="137">
        <f t="shared" si="3"/>
        <v>341.25</v>
      </c>
      <c r="AA21" s="137">
        <f t="shared" si="3"/>
        <v>491.4000000000001</v>
      </c>
      <c r="AB21" s="137">
        <f t="shared" si="3"/>
        <v>873.6000000000001</v>
      </c>
    </row>
    <row r="22" spans="1:28" ht="15">
      <c r="A22" s="136">
        <v>5</v>
      </c>
      <c r="B22" s="125">
        <f t="shared" si="2"/>
        <v>278</v>
      </c>
      <c r="D22" s="137">
        <f t="shared" si="5"/>
        <v>5.555999999999983</v>
      </c>
      <c r="E22" s="137">
        <f t="shared" si="5"/>
        <v>7.2239999999999895</v>
      </c>
      <c r="F22" s="137">
        <f t="shared" si="5"/>
        <v>10.004000000000019</v>
      </c>
      <c r="G22" s="137">
        <f t="shared" si="5"/>
        <v>13.896000000000015</v>
      </c>
      <c r="H22" s="137">
        <f t="shared" si="5"/>
        <v>18.900000000000034</v>
      </c>
      <c r="I22" s="137">
        <f t="shared" si="5"/>
        <v>25.01600000000002</v>
      </c>
      <c r="J22" s="137">
        <f t="shared" si="5"/>
        <v>32.24400000000003</v>
      </c>
      <c r="K22" s="137">
        <f t="shared" si="5"/>
        <v>40.58400000000006</v>
      </c>
      <c r="L22" s="138">
        <f t="shared" si="5"/>
        <v>45.17099999999999</v>
      </c>
      <c r="M22" s="137">
        <f t="shared" si="3"/>
        <v>50.036</v>
      </c>
      <c r="N22" s="137">
        <f t="shared" si="3"/>
        <v>60.599999999999966</v>
      </c>
      <c r="O22" s="137">
        <f t="shared" si="3"/>
        <v>72.27600000000001</v>
      </c>
      <c r="P22" s="137">
        <f t="shared" si="3"/>
        <v>85.06400000000002</v>
      </c>
      <c r="Q22" s="137">
        <f t="shared" si="3"/>
        <v>98.964</v>
      </c>
      <c r="R22" s="137">
        <f t="shared" si="3"/>
        <v>113.976</v>
      </c>
      <c r="S22" s="137">
        <f t="shared" si="3"/>
        <v>130.10000000000002</v>
      </c>
      <c r="T22" s="137">
        <f t="shared" si="3"/>
        <v>147.336</v>
      </c>
      <c r="U22" s="137">
        <f t="shared" si="3"/>
        <v>165.68400000000003</v>
      </c>
      <c r="V22" s="137">
        <f t="shared" si="3"/>
        <v>185.14400000000006</v>
      </c>
      <c r="W22" s="137">
        <f t="shared" si="3"/>
        <v>205.716</v>
      </c>
      <c r="X22" s="138">
        <f t="shared" si="3"/>
        <v>227.40000000000003</v>
      </c>
      <c r="Y22" s="137">
        <f t="shared" si="3"/>
        <v>274.10400000000004</v>
      </c>
      <c r="Z22" s="137">
        <f t="shared" si="3"/>
        <v>352.5</v>
      </c>
      <c r="AA22" s="137">
        <f t="shared" si="3"/>
        <v>505.4000000000001</v>
      </c>
      <c r="AB22" s="137">
        <f t="shared" si="3"/>
        <v>894.6000000000001</v>
      </c>
    </row>
    <row r="23" spans="1:28" ht="15">
      <c r="A23" s="136">
        <v>10</v>
      </c>
      <c r="B23" s="125">
        <f t="shared" si="2"/>
        <v>283</v>
      </c>
      <c r="D23" s="137">
        <f t="shared" si="5"/>
        <v>10.565999999999974</v>
      </c>
      <c r="E23" s="137">
        <f t="shared" si="5"/>
        <v>12.26400000000001</v>
      </c>
      <c r="F23" s="137">
        <f t="shared" si="5"/>
        <v>15.093999999999994</v>
      </c>
      <c r="G23" s="137">
        <f t="shared" si="5"/>
        <v>19.055999999999983</v>
      </c>
      <c r="H23" s="137">
        <f t="shared" si="5"/>
        <v>24.150000000000034</v>
      </c>
      <c r="I23" s="137">
        <f t="shared" si="5"/>
        <v>30.376000000000033</v>
      </c>
      <c r="J23" s="137">
        <f t="shared" si="5"/>
        <v>37.73400000000004</v>
      </c>
      <c r="K23" s="137">
        <f t="shared" si="5"/>
        <v>46.224000000000046</v>
      </c>
      <c r="L23" s="138">
        <f t="shared" si="5"/>
        <v>50.89350000000002</v>
      </c>
      <c r="M23" s="137">
        <f t="shared" si="3"/>
        <v>55.846000000000004</v>
      </c>
      <c r="N23" s="137">
        <f t="shared" si="3"/>
        <v>66.59999999999997</v>
      </c>
      <c r="O23" s="137">
        <f t="shared" si="3"/>
        <v>78.48599999999999</v>
      </c>
      <c r="P23" s="137">
        <f t="shared" si="3"/>
        <v>91.50400000000002</v>
      </c>
      <c r="Q23" s="137">
        <f t="shared" si="3"/>
        <v>105.654</v>
      </c>
      <c r="R23" s="137">
        <f t="shared" si="3"/>
        <v>120.93599999999998</v>
      </c>
      <c r="S23" s="137">
        <f t="shared" si="3"/>
        <v>137.35000000000002</v>
      </c>
      <c r="T23" s="137">
        <f t="shared" si="3"/>
        <v>154.89600000000002</v>
      </c>
      <c r="U23" s="137">
        <f t="shared" si="3"/>
        <v>173.574</v>
      </c>
      <c r="V23" s="137">
        <f t="shared" si="3"/>
        <v>193.38400000000001</v>
      </c>
      <c r="W23" s="137">
        <f t="shared" si="3"/>
        <v>214.32599999999996</v>
      </c>
      <c r="X23" s="138">
        <f t="shared" si="3"/>
        <v>236.40000000000003</v>
      </c>
      <c r="Y23" s="137">
        <f t="shared" si="3"/>
        <v>283.9440000000001</v>
      </c>
      <c r="Z23" s="137">
        <f t="shared" si="3"/>
        <v>363.75</v>
      </c>
      <c r="AA23" s="137">
        <f t="shared" si="3"/>
        <v>519.4000000000001</v>
      </c>
      <c r="AB23" s="137">
        <f t="shared" si="3"/>
        <v>915.6000000000001</v>
      </c>
    </row>
    <row r="24" spans="1:28" ht="15">
      <c r="A24" s="136">
        <v>15</v>
      </c>
      <c r="B24" s="125">
        <f t="shared" si="2"/>
        <v>288</v>
      </c>
      <c r="D24" s="137">
        <f t="shared" si="5"/>
        <v>15.576000000000022</v>
      </c>
      <c r="E24" s="137">
        <f t="shared" si="5"/>
        <v>17.303999999999974</v>
      </c>
      <c r="F24" s="137">
        <f t="shared" si="5"/>
        <v>20.184000000000026</v>
      </c>
      <c r="G24" s="137">
        <f t="shared" si="5"/>
        <v>24.216000000000008</v>
      </c>
      <c r="H24" s="137">
        <f t="shared" si="5"/>
        <v>29.400000000000034</v>
      </c>
      <c r="I24" s="137">
        <f t="shared" si="5"/>
        <v>35.73599999999999</v>
      </c>
      <c r="J24" s="137">
        <f t="shared" si="5"/>
        <v>43.224000000000046</v>
      </c>
      <c r="K24" s="137">
        <f t="shared" si="5"/>
        <v>51.86400000000003</v>
      </c>
      <c r="L24" s="138">
        <f t="shared" si="5"/>
        <v>56.61600000000004</v>
      </c>
      <c r="M24" s="137">
        <f t="shared" si="3"/>
        <v>61.65599999999995</v>
      </c>
      <c r="N24" s="137">
        <f t="shared" si="3"/>
        <v>72.59999999999997</v>
      </c>
      <c r="O24" s="137">
        <f t="shared" si="3"/>
        <v>84.69600000000003</v>
      </c>
      <c r="P24" s="137">
        <f t="shared" si="3"/>
        <v>97.94400000000002</v>
      </c>
      <c r="Q24" s="137">
        <f t="shared" si="3"/>
        <v>112.34400000000005</v>
      </c>
      <c r="R24" s="137">
        <f t="shared" si="3"/>
        <v>127.89599999999996</v>
      </c>
      <c r="S24" s="137">
        <f t="shared" si="3"/>
        <v>144.60000000000002</v>
      </c>
      <c r="T24" s="137">
        <f t="shared" si="3"/>
        <v>162.45600000000002</v>
      </c>
      <c r="U24" s="137">
        <f t="shared" si="3"/>
        <v>181.464</v>
      </c>
      <c r="V24" s="137">
        <f t="shared" si="3"/>
        <v>201.62400000000002</v>
      </c>
      <c r="W24" s="137">
        <f t="shared" si="3"/>
        <v>222.93599999999998</v>
      </c>
      <c r="X24" s="138">
        <f t="shared" si="3"/>
        <v>245.39999999999998</v>
      </c>
      <c r="Y24" s="137">
        <f t="shared" si="3"/>
        <v>293.7840000000001</v>
      </c>
      <c r="Z24" s="137">
        <f t="shared" si="3"/>
        <v>375</v>
      </c>
      <c r="AA24" s="137">
        <f t="shared" si="3"/>
        <v>533.4000000000001</v>
      </c>
      <c r="AB24" s="137">
        <f t="shared" si="3"/>
        <v>936.6000000000001</v>
      </c>
    </row>
    <row r="25" spans="1:28" ht="15">
      <c r="A25" s="169">
        <v>20</v>
      </c>
      <c r="B25" s="125">
        <f t="shared" si="2"/>
        <v>293</v>
      </c>
      <c r="D25" s="137">
        <f t="shared" si="5"/>
        <v>20.586000000000013</v>
      </c>
      <c r="E25" s="137">
        <f t="shared" si="5"/>
        <v>22.343999999999994</v>
      </c>
      <c r="F25" s="137">
        <f t="shared" si="5"/>
        <v>25.274</v>
      </c>
      <c r="G25" s="137">
        <f t="shared" si="5"/>
        <v>29.376000000000033</v>
      </c>
      <c r="H25" s="137">
        <f t="shared" si="5"/>
        <v>34.650000000000034</v>
      </c>
      <c r="I25" s="137">
        <f t="shared" si="5"/>
        <v>41.096000000000004</v>
      </c>
      <c r="J25" s="137">
        <f t="shared" si="5"/>
        <v>48.714</v>
      </c>
      <c r="K25" s="137">
        <f t="shared" si="5"/>
        <v>57.50400000000002</v>
      </c>
      <c r="L25" s="138">
        <f t="shared" si="5"/>
        <v>62.33850000000001</v>
      </c>
      <c r="M25" s="137">
        <f t="shared" si="3"/>
        <v>67.46599999999995</v>
      </c>
      <c r="N25" s="137">
        <f t="shared" si="3"/>
        <v>78.59999999999997</v>
      </c>
      <c r="O25" s="137">
        <f t="shared" si="3"/>
        <v>90.906</v>
      </c>
      <c r="P25" s="137">
        <f t="shared" si="3"/>
        <v>104.38400000000001</v>
      </c>
      <c r="Q25" s="137">
        <f t="shared" si="3"/>
        <v>119.03400000000005</v>
      </c>
      <c r="R25" s="137">
        <f t="shared" si="3"/>
        <v>134.856</v>
      </c>
      <c r="S25" s="137">
        <f t="shared" si="3"/>
        <v>151.85000000000008</v>
      </c>
      <c r="T25" s="137">
        <f t="shared" si="3"/>
        <v>170.01600000000002</v>
      </c>
      <c r="U25" s="137">
        <f t="shared" si="3"/>
        <v>189.35400000000004</v>
      </c>
      <c r="V25" s="137">
        <f t="shared" si="3"/>
        <v>209.86400000000003</v>
      </c>
      <c r="W25" s="137">
        <f t="shared" si="3"/>
        <v>231.546</v>
      </c>
      <c r="X25" s="138">
        <f t="shared" si="3"/>
        <v>254.39999999999998</v>
      </c>
      <c r="Y25" s="137">
        <f t="shared" si="3"/>
        <v>303.624</v>
      </c>
      <c r="Z25" s="137">
        <f t="shared" si="3"/>
        <v>386.25</v>
      </c>
      <c r="AA25" s="137">
        <f t="shared" si="3"/>
        <v>547.4000000000001</v>
      </c>
      <c r="AB25" s="137">
        <f t="shared" si="3"/>
        <v>957.6000000000001</v>
      </c>
    </row>
    <row r="26" spans="1:28" ht="15">
      <c r="A26" s="169">
        <v>25</v>
      </c>
      <c r="B26" s="125">
        <f t="shared" si="2"/>
        <v>298</v>
      </c>
      <c r="D26" s="137">
        <f t="shared" si="5"/>
        <v>25.596000000000004</v>
      </c>
      <c r="E26" s="137">
        <f t="shared" si="5"/>
        <v>27.384000000000015</v>
      </c>
      <c r="F26" s="137">
        <f t="shared" si="5"/>
        <v>30.364000000000033</v>
      </c>
      <c r="G26" s="137">
        <f t="shared" si="5"/>
        <v>34.536</v>
      </c>
      <c r="H26" s="137">
        <f t="shared" si="5"/>
        <v>39.900000000000034</v>
      </c>
      <c r="I26" s="137">
        <f t="shared" si="5"/>
        <v>46.45600000000002</v>
      </c>
      <c r="J26" s="137">
        <f t="shared" si="5"/>
        <v>54.20400000000001</v>
      </c>
      <c r="K26" s="137">
        <f t="shared" si="5"/>
        <v>63.144000000000005</v>
      </c>
      <c r="L26" s="138">
        <f t="shared" si="5"/>
        <v>68.06100000000004</v>
      </c>
      <c r="M26" s="137">
        <f t="shared" si="3"/>
        <v>73.27599999999995</v>
      </c>
      <c r="N26" s="137">
        <f t="shared" si="3"/>
        <v>84.59999999999997</v>
      </c>
      <c r="O26" s="137">
        <f t="shared" si="3"/>
        <v>97.11599999999999</v>
      </c>
      <c r="P26" s="137">
        <f t="shared" si="3"/>
        <v>110.82400000000001</v>
      </c>
      <c r="Q26" s="137">
        <f t="shared" si="3"/>
        <v>125.72400000000005</v>
      </c>
      <c r="R26" s="137">
        <f t="shared" si="3"/>
        <v>141.81599999999997</v>
      </c>
      <c r="S26" s="137">
        <f t="shared" si="3"/>
        <v>159.10000000000008</v>
      </c>
      <c r="T26" s="137">
        <f t="shared" si="3"/>
        <v>177.57600000000002</v>
      </c>
      <c r="U26" s="137">
        <f t="shared" si="3"/>
        <v>197.24400000000003</v>
      </c>
      <c r="V26" s="137">
        <f t="shared" si="3"/>
        <v>218.10400000000004</v>
      </c>
      <c r="W26" s="137">
        <f t="shared" si="3"/>
        <v>240.15599999999995</v>
      </c>
      <c r="X26" s="138">
        <f t="shared" si="3"/>
        <v>263.4</v>
      </c>
      <c r="Y26" s="137">
        <f t="shared" si="3"/>
        <v>313.46400000000006</v>
      </c>
      <c r="Z26" s="137">
        <f t="shared" si="3"/>
        <v>397.5</v>
      </c>
      <c r="AA26" s="137">
        <f t="shared" si="3"/>
        <v>561.4000000000001</v>
      </c>
      <c r="AB26" s="137">
        <f t="shared" si="3"/>
        <v>978.6000000000001</v>
      </c>
    </row>
    <row r="27" spans="1:28" ht="15">
      <c r="A27" s="169">
        <v>30</v>
      </c>
      <c r="B27" s="125">
        <f t="shared" si="2"/>
        <v>303</v>
      </c>
      <c r="D27" s="137">
        <f t="shared" si="5"/>
        <v>30.605999999999995</v>
      </c>
      <c r="E27" s="137">
        <f t="shared" si="5"/>
        <v>32.42399999999998</v>
      </c>
      <c r="F27" s="137">
        <f t="shared" si="5"/>
        <v>35.45400000000001</v>
      </c>
      <c r="G27" s="137">
        <f t="shared" si="5"/>
        <v>39.696000000000026</v>
      </c>
      <c r="H27" s="137">
        <f t="shared" si="5"/>
        <v>45.150000000000034</v>
      </c>
      <c r="I27" s="137">
        <f t="shared" si="5"/>
        <v>51.81600000000003</v>
      </c>
      <c r="J27" s="137">
        <f t="shared" si="5"/>
        <v>59.69400000000002</v>
      </c>
      <c r="K27" s="137">
        <f t="shared" si="5"/>
        <v>68.78400000000005</v>
      </c>
      <c r="L27" s="138">
        <f t="shared" si="5"/>
        <v>73.7835</v>
      </c>
      <c r="M27" s="137">
        <f t="shared" si="3"/>
        <v>79.08599999999996</v>
      </c>
      <c r="N27" s="137">
        <f t="shared" si="3"/>
        <v>90.59999999999997</v>
      </c>
      <c r="O27" s="137">
        <f t="shared" si="3"/>
        <v>103.32600000000002</v>
      </c>
      <c r="P27" s="137">
        <f t="shared" si="3"/>
        <v>117.26400000000001</v>
      </c>
      <c r="Q27" s="137">
        <f t="shared" si="3"/>
        <v>132.41400000000004</v>
      </c>
      <c r="R27" s="137">
        <f t="shared" si="3"/>
        <v>148.77599999999995</v>
      </c>
      <c r="S27" s="137">
        <f t="shared" si="3"/>
        <v>166.35000000000008</v>
      </c>
      <c r="T27" s="137">
        <f t="shared" si="3"/>
        <v>185.13600000000002</v>
      </c>
      <c r="U27" s="137">
        <f t="shared" si="3"/>
        <v>205.13400000000001</v>
      </c>
      <c r="V27" s="137">
        <f t="shared" si="3"/>
        <v>226.34400000000005</v>
      </c>
      <c r="W27" s="137">
        <f t="shared" si="3"/>
        <v>248.76599999999996</v>
      </c>
      <c r="X27" s="138">
        <f t="shared" si="3"/>
        <v>272.4</v>
      </c>
      <c r="Y27" s="137">
        <f t="shared" si="3"/>
        <v>323.3040000000001</v>
      </c>
      <c r="Z27" s="137">
        <f t="shared" si="3"/>
        <v>408.75</v>
      </c>
      <c r="AA27" s="137">
        <f t="shared" si="3"/>
        <v>575.4000000000001</v>
      </c>
      <c r="AB27" s="137">
        <f t="shared" si="3"/>
        <v>999.6000000000001</v>
      </c>
    </row>
    <row r="28" spans="1:28" ht="15">
      <c r="A28" s="169">
        <v>35</v>
      </c>
      <c r="B28" s="125">
        <f t="shared" si="2"/>
        <v>308</v>
      </c>
      <c r="D28" s="137">
        <f t="shared" si="5"/>
        <v>35.615999999999985</v>
      </c>
      <c r="E28" s="137">
        <f t="shared" si="5"/>
        <v>37.464</v>
      </c>
      <c r="F28" s="137">
        <f t="shared" si="5"/>
        <v>40.54399999999998</v>
      </c>
      <c r="G28" s="137">
        <f t="shared" si="5"/>
        <v>44.855999999999995</v>
      </c>
      <c r="H28" s="137">
        <f t="shared" si="5"/>
        <v>50.400000000000034</v>
      </c>
      <c r="I28" s="137">
        <f t="shared" si="5"/>
        <v>57.176000000000045</v>
      </c>
      <c r="J28" s="137">
        <f t="shared" si="5"/>
        <v>65.18400000000003</v>
      </c>
      <c r="K28" s="137">
        <f t="shared" si="5"/>
        <v>74.42400000000004</v>
      </c>
      <c r="L28" s="138">
        <f t="shared" si="5"/>
        <v>79.50600000000003</v>
      </c>
      <c r="M28" s="137">
        <f t="shared" si="3"/>
        <v>84.89599999999996</v>
      </c>
      <c r="N28" s="137">
        <f t="shared" si="3"/>
        <v>96.59999999999997</v>
      </c>
      <c r="O28" s="137">
        <f t="shared" si="3"/>
        <v>109.536</v>
      </c>
      <c r="P28" s="137">
        <f t="shared" si="3"/>
        <v>123.70400000000001</v>
      </c>
      <c r="Q28" s="137">
        <f t="shared" si="3"/>
        <v>139.10400000000004</v>
      </c>
      <c r="R28" s="137">
        <f t="shared" si="3"/>
        <v>155.736</v>
      </c>
      <c r="S28" s="137">
        <f t="shared" si="3"/>
        <v>173.60000000000008</v>
      </c>
      <c r="T28" s="137">
        <f t="shared" si="3"/>
        <v>192.69600000000003</v>
      </c>
      <c r="U28" s="137">
        <f t="shared" si="3"/>
        <v>213.024</v>
      </c>
      <c r="V28" s="137">
        <f t="shared" si="3"/>
        <v>234.58400000000006</v>
      </c>
      <c r="W28" s="137">
        <f t="shared" si="3"/>
        <v>257.376</v>
      </c>
      <c r="X28" s="138">
        <f t="shared" si="3"/>
        <v>281.4</v>
      </c>
      <c r="Y28" s="137">
        <f t="shared" si="3"/>
        <v>333.144</v>
      </c>
      <c r="Z28" s="137">
        <f t="shared" si="3"/>
        <v>420</v>
      </c>
      <c r="AA28" s="137">
        <f t="shared" si="3"/>
        <v>589.4000000000001</v>
      </c>
      <c r="AB28" s="137">
        <f t="shared" si="3"/>
        <v>1020.6000000000001</v>
      </c>
    </row>
    <row r="29" spans="1:28" ht="15">
      <c r="A29" s="169">
        <v>40</v>
      </c>
      <c r="B29" s="125">
        <f t="shared" si="2"/>
        <v>313</v>
      </c>
      <c r="D29" s="137">
        <f t="shared" si="5"/>
        <v>40.625999999999976</v>
      </c>
      <c r="E29" s="137">
        <f t="shared" si="5"/>
        <v>42.50400000000002</v>
      </c>
      <c r="F29" s="137">
        <f t="shared" si="5"/>
        <v>45.634000000000015</v>
      </c>
      <c r="G29" s="137">
        <f t="shared" si="5"/>
        <v>50.01600000000002</v>
      </c>
      <c r="H29" s="137">
        <f t="shared" si="5"/>
        <v>55.650000000000034</v>
      </c>
      <c r="I29" s="137">
        <f t="shared" si="5"/>
        <v>62.536</v>
      </c>
      <c r="J29" s="137">
        <f t="shared" si="5"/>
        <v>70.67400000000004</v>
      </c>
      <c r="K29" s="137">
        <f t="shared" si="5"/>
        <v>80.06400000000002</v>
      </c>
      <c r="L29" s="138">
        <f t="shared" si="5"/>
        <v>85.2285</v>
      </c>
      <c r="M29" s="137">
        <f t="shared" si="3"/>
        <v>90.70599999999996</v>
      </c>
      <c r="N29" s="137">
        <f t="shared" si="3"/>
        <v>102.59999999999997</v>
      </c>
      <c r="O29" s="137">
        <f t="shared" si="3"/>
        <v>115.74599999999998</v>
      </c>
      <c r="P29" s="137">
        <f t="shared" si="3"/>
        <v>130.144</v>
      </c>
      <c r="Q29" s="137">
        <f t="shared" si="3"/>
        <v>145.79400000000004</v>
      </c>
      <c r="R29" s="137">
        <f t="shared" si="3"/>
        <v>162.69599999999997</v>
      </c>
      <c r="S29" s="137">
        <f t="shared" si="3"/>
        <v>180.85000000000008</v>
      </c>
      <c r="T29" s="137">
        <f t="shared" si="3"/>
        <v>200.25600000000003</v>
      </c>
      <c r="U29" s="137">
        <f t="shared" si="3"/>
        <v>220.91400000000004</v>
      </c>
      <c r="V29" s="137">
        <f t="shared" si="3"/>
        <v>242.82400000000007</v>
      </c>
      <c r="W29" s="137">
        <f t="shared" si="3"/>
        <v>265.986</v>
      </c>
      <c r="X29" s="138">
        <f t="shared" si="3"/>
        <v>290.4</v>
      </c>
      <c r="Y29" s="137">
        <f t="shared" si="3"/>
        <v>342.98400000000004</v>
      </c>
      <c r="Z29" s="137">
        <f t="shared" si="3"/>
        <v>431.25</v>
      </c>
      <c r="AA29" s="137">
        <f t="shared" si="3"/>
        <v>603.4000000000001</v>
      </c>
      <c r="AB29" s="137">
        <f t="shared" si="3"/>
        <v>1041.6000000000001</v>
      </c>
    </row>
    <row r="30" spans="1:28" ht="15">
      <c r="A30" s="169">
        <v>45</v>
      </c>
      <c r="B30" s="125">
        <f t="shared" si="2"/>
        <v>318</v>
      </c>
      <c r="D30" s="137">
        <f t="shared" si="5"/>
        <v>45.636000000000024</v>
      </c>
      <c r="E30" s="137">
        <f t="shared" si="5"/>
        <v>47.54399999999998</v>
      </c>
      <c r="F30" s="137">
        <f t="shared" si="5"/>
        <v>50.72399999999999</v>
      </c>
      <c r="G30" s="137">
        <f t="shared" si="5"/>
        <v>55.17599999999999</v>
      </c>
      <c r="H30" s="137">
        <f t="shared" si="5"/>
        <v>60.900000000000034</v>
      </c>
      <c r="I30" s="137">
        <f t="shared" si="5"/>
        <v>67.89600000000002</v>
      </c>
      <c r="J30" s="137">
        <f t="shared" si="5"/>
        <v>76.16400000000004</v>
      </c>
      <c r="K30" s="137">
        <f t="shared" si="5"/>
        <v>85.70400000000006</v>
      </c>
      <c r="L30" s="138">
        <f t="shared" si="5"/>
        <v>90.95100000000002</v>
      </c>
      <c r="M30" s="137">
        <f t="shared" si="3"/>
        <v>96.51599999999996</v>
      </c>
      <c r="N30" s="137">
        <f t="shared" si="3"/>
        <v>108.59999999999997</v>
      </c>
      <c r="O30" s="137">
        <f t="shared" si="3"/>
        <v>121.95600000000002</v>
      </c>
      <c r="P30" s="137">
        <f t="shared" si="3"/>
        <v>136.584</v>
      </c>
      <c r="Q30" s="137">
        <f t="shared" si="3"/>
        <v>152.48400000000004</v>
      </c>
      <c r="R30" s="137">
        <f t="shared" si="3"/>
        <v>169.65599999999995</v>
      </c>
      <c r="S30" s="137">
        <f t="shared" si="3"/>
        <v>188.10000000000008</v>
      </c>
      <c r="T30" s="137">
        <f t="shared" si="3"/>
        <v>207.81600000000003</v>
      </c>
      <c r="U30" s="137">
        <f t="shared" si="3"/>
        <v>228.80400000000003</v>
      </c>
      <c r="V30" s="137">
        <f t="shared" si="3"/>
        <v>251.06400000000008</v>
      </c>
      <c r="W30" s="137">
        <f t="shared" si="3"/>
        <v>274.596</v>
      </c>
      <c r="X30" s="138">
        <f t="shared" si="3"/>
        <v>299.4</v>
      </c>
      <c r="Y30" s="137">
        <f t="shared" si="3"/>
        <v>352.82400000000007</v>
      </c>
      <c r="Z30" s="137">
        <f t="shared" si="3"/>
        <v>442.5</v>
      </c>
      <c r="AA30" s="137">
        <f t="shared" si="3"/>
        <v>617.4000000000001</v>
      </c>
      <c r="AB30" s="137">
        <f t="shared" si="3"/>
        <v>1062.6000000000001</v>
      </c>
    </row>
    <row r="31" spans="1:28" ht="15">
      <c r="A31" s="169">
        <v>50</v>
      </c>
      <c r="B31" s="125">
        <f t="shared" si="2"/>
        <v>323</v>
      </c>
      <c r="D31" s="137">
        <f t="shared" si="5"/>
        <v>50.646000000000015</v>
      </c>
      <c r="E31" s="137">
        <f t="shared" si="5"/>
        <v>52.584</v>
      </c>
      <c r="F31" s="137">
        <f t="shared" si="5"/>
        <v>55.81400000000002</v>
      </c>
      <c r="G31" s="137">
        <f t="shared" si="5"/>
        <v>60.33600000000001</v>
      </c>
      <c r="H31" s="137">
        <f t="shared" si="5"/>
        <v>66.15000000000003</v>
      </c>
      <c r="I31" s="137">
        <f t="shared" si="5"/>
        <v>73.25600000000003</v>
      </c>
      <c r="J31" s="137">
        <f t="shared" si="5"/>
        <v>81.65400000000005</v>
      </c>
      <c r="K31" s="137">
        <f t="shared" si="5"/>
        <v>91.34400000000005</v>
      </c>
      <c r="L31" s="138">
        <f t="shared" si="5"/>
        <v>96.67350000000005</v>
      </c>
      <c r="M31" s="137">
        <f t="shared" si="3"/>
        <v>102.32599999999996</v>
      </c>
      <c r="N31" s="137">
        <f t="shared" si="3"/>
        <v>114.59999999999997</v>
      </c>
      <c r="O31" s="137">
        <f t="shared" si="3"/>
        <v>128.166</v>
      </c>
      <c r="P31" s="137">
        <f t="shared" si="3"/>
        <v>143.024</v>
      </c>
      <c r="Q31" s="137">
        <f t="shared" si="3"/>
        <v>159.17400000000004</v>
      </c>
      <c r="R31" s="137">
        <f t="shared" si="3"/>
        <v>176.61599999999999</v>
      </c>
      <c r="S31" s="137">
        <f t="shared" si="3"/>
        <v>195.35000000000008</v>
      </c>
      <c r="T31" s="137">
        <f t="shared" si="3"/>
        <v>215.37599999999998</v>
      </c>
      <c r="U31" s="137">
        <f t="shared" si="3"/>
        <v>236.69400000000002</v>
      </c>
      <c r="V31" s="137">
        <f t="shared" si="3"/>
        <v>259.3040000000001</v>
      </c>
      <c r="W31" s="137">
        <f t="shared" si="3"/>
        <v>283.206</v>
      </c>
      <c r="X31" s="138">
        <f t="shared" si="3"/>
        <v>308.4</v>
      </c>
      <c r="Y31" s="137">
        <f t="shared" si="3"/>
        <v>362.6640000000001</v>
      </c>
      <c r="Z31" s="137">
        <f t="shared" si="3"/>
        <v>453.75</v>
      </c>
      <c r="AA31" s="137">
        <f t="shared" si="3"/>
        <v>631.4000000000001</v>
      </c>
      <c r="AB31" s="137">
        <f t="shared" si="3"/>
        <v>1083.6000000000001</v>
      </c>
    </row>
    <row r="32" spans="1:28" ht="15">
      <c r="A32" s="169">
        <v>55</v>
      </c>
      <c r="B32" s="125">
        <f t="shared" si="2"/>
        <v>328</v>
      </c>
      <c r="D32" s="137">
        <f t="shared" si="5"/>
        <v>55.656000000000006</v>
      </c>
      <c r="E32" s="137">
        <f t="shared" si="5"/>
        <v>57.624000000000024</v>
      </c>
      <c r="F32" s="137">
        <f t="shared" si="5"/>
        <v>60.903999999999996</v>
      </c>
      <c r="G32" s="137">
        <f t="shared" si="5"/>
        <v>65.49599999999998</v>
      </c>
      <c r="H32" s="137">
        <f t="shared" si="5"/>
        <v>71.40000000000003</v>
      </c>
      <c r="I32" s="137">
        <f t="shared" si="5"/>
        <v>78.61600000000004</v>
      </c>
      <c r="J32" s="137">
        <f t="shared" si="5"/>
        <v>87.144</v>
      </c>
      <c r="K32" s="137">
        <f t="shared" si="5"/>
        <v>96.98400000000004</v>
      </c>
      <c r="L32" s="138">
        <f>$B32*(1+0.2*L$3*L$3)-273</f>
        <v>102.39600000000002</v>
      </c>
      <c r="M32" s="137">
        <f t="shared" si="3"/>
        <v>108.13599999999997</v>
      </c>
      <c r="N32" s="137">
        <f t="shared" si="3"/>
        <v>120.59999999999997</v>
      </c>
      <c r="O32" s="137">
        <f t="shared" si="3"/>
        <v>134.37599999999998</v>
      </c>
      <c r="P32" s="137">
        <f t="shared" si="3"/>
        <v>149.464</v>
      </c>
      <c r="Q32" s="137">
        <f t="shared" si="3"/>
        <v>165.86400000000003</v>
      </c>
      <c r="R32" s="137">
        <f t="shared" si="3"/>
        <v>183.57599999999996</v>
      </c>
      <c r="S32" s="137">
        <f t="shared" si="3"/>
        <v>202.60000000000008</v>
      </c>
      <c r="T32" s="137">
        <f t="shared" si="3"/>
        <v>222.93599999999998</v>
      </c>
      <c r="U32" s="137">
        <f t="shared" si="3"/>
        <v>244.58400000000006</v>
      </c>
      <c r="V32" s="137">
        <f t="shared" si="3"/>
        <v>267.5440000000001</v>
      </c>
      <c r="W32" s="137">
        <f t="shared" si="3"/>
        <v>291.81600000000003</v>
      </c>
      <c r="X32" s="138">
        <f t="shared" si="3"/>
        <v>317.4</v>
      </c>
      <c r="Y32" s="137">
        <f t="shared" si="3"/>
        <v>372.504</v>
      </c>
      <c r="Z32" s="137">
        <f t="shared" si="3"/>
        <v>465</v>
      </c>
      <c r="AA32" s="137">
        <f t="shared" si="3"/>
        <v>645.4000000000001</v>
      </c>
      <c r="AB32" s="137">
        <f t="shared" si="3"/>
        <v>1104.6000000000001</v>
      </c>
    </row>
    <row r="33" spans="1:28" ht="15">
      <c r="A33" s="169">
        <v>60</v>
      </c>
      <c r="B33" s="125">
        <f t="shared" si="2"/>
        <v>333</v>
      </c>
      <c r="D33" s="137">
        <f t="shared" si="5"/>
        <v>60.666</v>
      </c>
      <c r="E33" s="137">
        <f t="shared" si="5"/>
        <v>62.66399999999999</v>
      </c>
      <c r="F33" s="137">
        <f t="shared" si="5"/>
        <v>65.99400000000003</v>
      </c>
      <c r="G33" s="137">
        <f t="shared" si="5"/>
        <v>70.656</v>
      </c>
      <c r="H33" s="137">
        <f t="shared" si="5"/>
        <v>76.65000000000003</v>
      </c>
      <c r="I33" s="137">
        <f t="shared" si="5"/>
        <v>83.976</v>
      </c>
      <c r="J33" s="137">
        <f t="shared" si="5"/>
        <v>92.63400000000001</v>
      </c>
      <c r="K33" s="137">
        <f t="shared" si="5"/>
        <v>102.62400000000002</v>
      </c>
      <c r="L33" s="138">
        <f t="shared" si="5"/>
        <v>108.11850000000004</v>
      </c>
      <c r="M33" s="137">
        <f t="shared" si="5"/>
        <v>113.94599999999997</v>
      </c>
      <c r="N33" s="137">
        <f t="shared" si="5"/>
        <v>126.59999999999997</v>
      </c>
      <c r="O33" s="137">
        <f t="shared" si="5"/>
        <v>140.586</v>
      </c>
      <c r="P33" s="137">
        <f t="shared" si="5"/>
        <v>155.904</v>
      </c>
      <c r="Q33" s="137">
        <f t="shared" si="5"/>
        <v>172.55400000000003</v>
      </c>
      <c r="R33" s="137">
        <f t="shared" si="5"/>
        <v>190.53599999999994</v>
      </c>
      <c r="S33" s="137">
        <f t="shared" si="5"/>
        <v>209.85000000000008</v>
      </c>
      <c r="T33" s="137">
        <f t="shared" si="3"/>
        <v>230.49599999999998</v>
      </c>
      <c r="U33" s="137">
        <f t="shared" si="3"/>
        <v>252.47400000000005</v>
      </c>
      <c r="V33" s="137">
        <f t="shared" si="3"/>
        <v>275.784</v>
      </c>
      <c r="W33" s="137">
        <f t="shared" si="3"/>
        <v>300.42600000000004</v>
      </c>
      <c r="X33" s="138">
        <f t="shared" si="3"/>
        <v>326.4</v>
      </c>
      <c r="Y33" s="137">
        <f t="shared" si="3"/>
        <v>382.34400000000005</v>
      </c>
      <c r="Z33" s="137">
        <f t="shared" si="3"/>
        <v>476.25</v>
      </c>
      <c r="AA33" s="137">
        <f t="shared" si="3"/>
        <v>659.4000000000001</v>
      </c>
      <c r="AB33" s="137">
        <f t="shared" si="3"/>
        <v>1125.6000000000001</v>
      </c>
    </row>
    <row r="34" spans="1:28" ht="15">
      <c r="A34" s="169">
        <v>65</v>
      </c>
      <c r="B34" s="125">
        <f t="shared" si="2"/>
        <v>338</v>
      </c>
      <c r="D34" s="137">
        <f t="shared" si="5"/>
        <v>65.67599999999999</v>
      </c>
      <c r="E34" s="137">
        <f t="shared" si="5"/>
        <v>67.70400000000001</v>
      </c>
      <c r="F34" s="137">
        <f t="shared" si="5"/>
        <v>71.084</v>
      </c>
      <c r="G34" s="137">
        <f t="shared" si="5"/>
        <v>75.81600000000003</v>
      </c>
      <c r="H34" s="137">
        <f t="shared" si="5"/>
        <v>81.90000000000003</v>
      </c>
      <c r="I34" s="137">
        <f t="shared" si="5"/>
        <v>89.33600000000001</v>
      </c>
      <c r="J34" s="137">
        <f t="shared" si="5"/>
        <v>98.12400000000002</v>
      </c>
      <c r="K34" s="137">
        <f t="shared" si="5"/>
        <v>108.26400000000001</v>
      </c>
      <c r="L34" s="138">
        <f t="shared" si="5"/>
        <v>113.84100000000001</v>
      </c>
      <c r="M34" s="137">
        <f t="shared" si="5"/>
        <v>119.75599999999997</v>
      </c>
      <c r="N34" s="137">
        <f t="shared" si="5"/>
        <v>132.59999999999997</v>
      </c>
      <c r="O34" s="137">
        <f t="shared" si="5"/>
        <v>146.796</v>
      </c>
      <c r="P34" s="137">
        <f t="shared" si="5"/>
        <v>162.344</v>
      </c>
      <c r="Q34" s="137">
        <f t="shared" si="5"/>
        <v>179.24400000000003</v>
      </c>
      <c r="R34" s="137">
        <f t="shared" si="5"/>
        <v>197.49599999999998</v>
      </c>
      <c r="S34" s="137">
        <f t="shared" si="5"/>
        <v>217.10000000000008</v>
      </c>
      <c r="T34" s="137">
        <f t="shared" si="3"/>
        <v>238.05599999999998</v>
      </c>
      <c r="U34" s="137">
        <f t="shared" si="3"/>
        <v>260.36400000000003</v>
      </c>
      <c r="V34" s="137">
        <f t="shared" si="3"/>
        <v>284.024</v>
      </c>
      <c r="W34" s="137">
        <f t="shared" si="3"/>
        <v>309.03599999999994</v>
      </c>
      <c r="X34" s="138">
        <f t="shared" si="3"/>
        <v>335.4</v>
      </c>
      <c r="Y34" s="137">
        <f t="shared" si="3"/>
        <v>392.1840000000001</v>
      </c>
      <c r="Z34" s="137">
        <f t="shared" si="3"/>
        <v>487.5</v>
      </c>
      <c r="AA34" s="137">
        <f t="shared" si="3"/>
        <v>673.4000000000001</v>
      </c>
      <c r="AB34" s="137">
        <f t="shared" si="3"/>
        <v>1146.6000000000001</v>
      </c>
    </row>
    <row r="35" spans="1:28" ht="15">
      <c r="A35" s="169">
        <v>70</v>
      </c>
      <c r="B35" s="125">
        <f t="shared" si="2"/>
        <v>343</v>
      </c>
      <c r="D35" s="137">
        <f t="shared" si="5"/>
        <v>70.68599999999998</v>
      </c>
      <c r="E35" s="137">
        <f t="shared" si="5"/>
        <v>72.74400000000003</v>
      </c>
      <c r="F35" s="137">
        <f t="shared" si="5"/>
        <v>76.17399999999998</v>
      </c>
      <c r="G35" s="137">
        <f t="shared" si="5"/>
        <v>80.976</v>
      </c>
      <c r="H35" s="137">
        <f t="shared" si="5"/>
        <v>87.15000000000003</v>
      </c>
      <c r="I35" s="137">
        <f t="shared" si="5"/>
        <v>94.69600000000003</v>
      </c>
      <c r="J35" s="137">
        <f t="shared" si="5"/>
        <v>103.61400000000003</v>
      </c>
      <c r="K35" s="137">
        <f t="shared" si="5"/>
        <v>113.90400000000005</v>
      </c>
      <c r="L35" s="138">
        <f t="shared" si="5"/>
        <v>119.56350000000003</v>
      </c>
      <c r="M35" s="137">
        <f t="shared" si="5"/>
        <v>125.56599999999997</v>
      </c>
      <c r="N35" s="137">
        <f t="shared" si="5"/>
        <v>138.59999999999997</v>
      </c>
      <c r="O35" s="137">
        <f t="shared" si="5"/>
        <v>153.00599999999997</v>
      </c>
      <c r="P35" s="137">
        <f t="shared" si="5"/>
        <v>168.784</v>
      </c>
      <c r="Q35" s="137">
        <f t="shared" si="5"/>
        <v>185.93400000000003</v>
      </c>
      <c r="R35" s="137">
        <f t="shared" si="5"/>
        <v>204.45599999999996</v>
      </c>
      <c r="S35" s="137">
        <f t="shared" si="5"/>
        <v>224.35000000000008</v>
      </c>
      <c r="T35" s="137">
        <f t="shared" si="3"/>
        <v>245.61599999999999</v>
      </c>
      <c r="U35" s="137">
        <f t="shared" si="3"/>
        <v>268.254</v>
      </c>
      <c r="V35" s="137">
        <f t="shared" si="3"/>
        <v>292.264</v>
      </c>
      <c r="W35" s="137">
        <f t="shared" si="3"/>
        <v>317.64599999999996</v>
      </c>
      <c r="X35" s="138">
        <f t="shared" si="3"/>
        <v>344.4</v>
      </c>
      <c r="Y35" s="137">
        <f t="shared" si="3"/>
        <v>402.0240000000001</v>
      </c>
      <c r="Z35" s="137">
        <f t="shared" si="3"/>
        <v>498.75</v>
      </c>
      <c r="AA35" s="137">
        <f t="shared" si="3"/>
        <v>687.4000000000001</v>
      </c>
      <c r="AB35" s="137">
        <f t="shared" si="3"/>
        <v>1167.6000000000001</v>
      </c>
    </row>
    <row r="36" spans="1:28" ht="15">
      <c r="A36" s="169">
        <v>75</v>
      </c>
      <c r="B36" s="125">
        <f t="shared" si="2"/>
        <v>348</v>
      </c>
      <c r="D36" s="137">
        <f t="shared" si="5"/>
        <v>75.69600000000003</v>
      </c>
      <c r="E36" s="137">
        <f t="shared" si="5"/>
        <v>77.78399999999999</v>
      </c>
      <c r="F36" s="137">
        <f t="shared" si="5"/>
        <v>81.26400000000001</v>
      </c>
      <c r="G36" s="137">
        <f t="shared" si="5"/>
        <v>86.13600000000002</v>
      </c>
      <c r="H36" s="137">
        <f t="shared" si="5"/>
        <v>92.40000000000003</v>
      </c>
      <c r="I36" s="137">
        <f t="shared" si="5"/>
        <v>100.05600000000004</v>
      </c>
      <c r="J36" s="137">
        <f t="shared" si="5"/>
        <v>109.10400000000004</v>
      </c>
      <c r="K36" s="137">
        <f t="shared" si="5"/>
        <v>119.54400000000004</v>
      </c>
      <c r="L36" s="138">
        <f t="shared" si="5"/>
        <v>125.286</v>
      </c>
      <c r="M36" s="137">
        <f t="shared" si="5"/>
        <v>131.37599999999998</v>
      </c>
      <c r="N36" s="137">
        <f t="shared" si="5"/>
        <v>144.59999999999997</v>
      </c>
      <c r="O36" s="137">
        <f t="shared" si="5"/>
        <v>159.216</v>
      </c>
      <c r="P36" s="137">
        <f t="shared" si="5"/>
        <v>175.224</v>
      </c>
      <c r="Q36" s="137">
        <f t="shared" si="5"/>
        <v>192.62400000000002</v>
      </c>
      <c r="R36" s="137">
        <f t="shared" si="5"/>
        <v>211.41599999999994</v>
      </c>
      <c r="S36" s="137">
        <f t="shared" si="5"/>
        <v>231.60000000000008</v>
      </c>
      <c r="T36" s="137">
        <f aca="true" t="shared" si="6" ref="T36:AB44">$B36*(1+0.2*T$3*T$3)-273</f>
        <v>253.17600000000004</v>
      </c>
      <c r="U36" s="137">
        <f t="shared" si="6"/>
        <v>276.144</v>
      </c>
      <c r="V36" s="137">
        <f t="shared" si="6"/>
        <v>300.504</v>
      </c>
      <c r="W36" s="137">
        <f t="shared" si="6"/>
        <v>326.256</v>
      </c>
      <c r="X36" s="138">
        <f t="shared" si="6"/>
        <v>353.4</v>
      </c>
      <c r="Y36" s="137">
        <f t="shared" si="6"/>
        <v>411.86400000000003</v>
      </c>
      <c r="Z36" s="137">
        <f t="shared" si="6"/>
        <v>510</v>
      </c>
      <c r="AA36" s="137">
        <f t="shared" si="6"/>
        <v>701.4000000000001</v>
      </c>
      <c r="AB36" s="137">
        <f t="shared" si="6"/>
        <v>1188.6000000000001</v>
      </c>
    </row>
    <row r="37" spans="1:28" ht="15">
      <c r="A37" s="169">
        <v>80</v>
      </c>
      <c r="B37" s="125">
        <f t="shared" si="2"/>
        <v>353</v>
      </c>
      <c r="D37" s="137">
        <f t="shared" si="5"/>
        <v>80.70600000000002</v>
      </c>
      <c r="E37" s="137">
        <f t="shared" si="5"/>
        <v>82.82400000000001</v>
      </c>
      <c r="F37" s="137">
        <f t="shared" si="5"/>
        <v>86.35399999999998</v>
      </c>
      <c r="G37" s="137">
        <f t="shared" si="5"/>
        <v>91.29599999999999</v>
      </c>
      <c r="H37" s="137">
        <f t="shared" si="5"/>
        <v>97.65000000000003</v>
      </c>
      <c r="I37" s="137">
        <f t="shared" si="5"/>
        <v>105.416</v>
      </c>
      <c r="J37" s="137">
        <f t="shared" si="5"/>
        <v>114.59400000000005</v>
      </c>
      <c r="K37" s="137">
        <f t="shared" si="5"/>
        <v>125.18400000000003</v>
      </c>
      <c r="L37" s="138">
        <f t="shared" si="5"/>
        <v>131.00850000000003</v>
      </c>
      <c r="M37" s="137">
        <f t="shared" si="5"/>
        <v>137.18599999999998</v>
      </c>
      <c r="N37" s="137">
        <f t="shared" si="5"/>
        <v>150.59999999999997</v>
      </c>
      <c r="O37" s="137">
        <f t="shared" si="5"/>
        <v>165.426</v>
      </c>
      <c r="P37" s="137">
        <f t="shared" si="5"/>
        <v>181.664</v>
      </c>
      <c r="Q37" s="137">
        <f t="shared" si="5"/>
        <v>199.31400000000002</v>
      </c>
      <c r="R37" s="137">
        <f t="shared" si="5"/>
        <v>218.37599999999998</v>
      </c>
      <c r="S37" s="137">
        <f t="shared" si="5"/>
        <v>238.85000000000008</v>
      </c>
      <c r="T37" s="137">
        <f t="shared" si="6"/>
        <v>260.736</v>
      </c>
      <c r="U37" s="137">
        <f t="shared" si="6"/>
        <v>284.034</v>
      </c>
      <c r="V37" s="137">
        <f t="shared" si="6"/>
        <v>308.744</v>
      </c>
      <c r="W37" s="137">
        <f t="shared" si="6"/>
        <v>334.866</v>
      </c>
      <c r="X37" s="138">
        <f t="shared" si="6"/>
        <v>362.4</v>
      </c>
      <c r="Y37" s="137">
        <f t="shared" si="6"/>
        <v>421.70400000000006</v>
      </c>
      <c r="Z37" s="137">
        <f t="shared" si="6"/>
        <v>521.25</v>
      </c>
      <c r="AA37" s="137">
        <f t="shared" si="6"/>
        <v>715.4000000000001</v>
      </c>
      <c r="AB37" s="137">
        <f t="shared" si="6"/>
        <v>1209.6000000000001</v>
      </c>
    </row>
    <row r="38" spans="1:28" ht="15">
      <c r="A38" s="169">
        <v>85</v>
      </c>
      <c r="B38" s="125">
        <f t="shared" si="2"/>
        <v>358</v>
      </c>
      <c r="D38" s="137">
        <f t="shared" si="5"/>
        <v>85.71600000000001</v>
      </c>
      <c r="E38" s="137">
        <f t="shared" si="5"/>
        <v>87.86399999999998</v>
      </c>
      <c r="F38" s="137">
        <f t="shared" si="5"/>
        <v>91.44400000000002</v>
      </c>
      <c r="G38" s="137">
        <f t="shared" si="5"/>
        <v>96.45600000000002</v>
      </c>
      <c r="H38" s="137">
        <f t="shared" si="5"/>
        <v>102.90000000000003</v>
      </c>
      <c r="I38" s="137">
        <f t="shared" si="5"/>
        <v>110.77600000000001</v>
      </c>
      <c r="J38" s="137">
        <f t="shared" si="5"/>
        <v>120.084</v>
      </c>
      <c r="K38" s="137">
        <f t="shared" si="5"/>
        <v>130.82400000000007</v>
      </c>
      <c r="L38" s="138">
        <f t="shared" si="5"/>
        <v>136.73100000000005</v>
      </c>
      <c r="M38" s="137">
        <f t="shared" si="5"/>
        <v>142.99599999999998</v>
      </c>
      <c r="N38" s="137">
        <f t="shared" si="5"/>
        <v>156.59999999999997</v>
      </c>
      <c r="O38" s="137">
        <f t="shared" si="5"/>
        <v>171.63600000000002</v>
      </c>
      <c r="P38" s="137">
        <f t="shared" si="5"/>
        <v>188.10399999999998</v>
      </c>
      <c r="Q38" s="137">
        <f t="shared" si="5"/>
        <v>206.00400000000002</v>
      </c>
      <c r="R38" s="137">
        <f t="shared" si="5"/>
        <v>225.33599999999996</v>
      </c>
      <c r="S38" s="137">
        <f t="shared" si="5"/>
        <v>246.10000000000002</v>
      </c>
      <c r="T38" s="137">
        <f t="shared" si="6"/>
        <v>268.29600000000005</v>
      </c>
      <c r="U38" s="137">
        <f t="shared" si="6"/>
        <v>291.924</v>
      </c>
      <c r="V38" s="137">
        <f t="shared" si="6"/>
        <v>316.98400000000004</v>
      </c>
      <c r="W38" s="137">
        <f t="shared" si="6"/>
        <v>343.476</v>
      </c>
      <c r="X38" s="138">
        <f t="shared" si="6"/>
        <v>371.4</v>
      </c>
      <c r="Y38" s="137">
        <f t="shared" si="6"/>
        <v>431.5440000000001</v>
      </c>
      <c r="Z38" s="137">
        <f t="shared" si="6"/>
        <v>532.5</v>
      </c>
      <c r="AA38" s="137">
        <f t="shared" si="6"/>
        <v>729.4000000000001</v>
      </c>
      <c r="AB38" s="137">
        <f t="shared" si="6"/>
        <v>1230.6000000000001</v>
      </c>
    </row>
    <row r="39" spans="1:28" ht="15">
      <c r="A39" s="169">
        <v>90</v>
      </c>
      <c r="B39" s="125">
        <f t="shared" si="2"/>
        <v>363</v>
      </c>
      <c r="D39" s="137">
        <f t="shared" si="5"/>
        <v>90.726</v>
      </c>
      <c r="E39" s="137">
        <f t="shared" si="5"/>
        <v>92.904</v>
      </c>
      <c r="F39" s="137">
        <f t="shared" si="5"/>
        <v>96.53399999999999</v>
      </c>
      <c r="G39" s="137">
        <f t="shared" si="5"/>
        <v>101.61599999999999</v>
      </c>
      <c r="H39" s="137">
        <f t="shared" si="5"/>
        <v>108.15000000000003</v>
      </c>
      <c r="I39" s="137">
        <f t="shared" si="5"/>
        <v>116.13600000000002</v>
      </c>
      <c r="J39" s="137">
        <f t="shared" si="5"/>
        <v>125.57400000000001</v>
      </c>
      <c r="K39" s="137">
        <f t="shared" si="5"/>
        <v>136.46400000000006</v>
      </c>
      <c r="L39" s="138">
        <f t="shared" si="5"/>
        <v>142.45350000000002</v>
      </c>
      <c r="M39" s="137">
        <f t="shared" si="5"/>
        <v>148.80599999999998</v>
      </c>
      <c r="N39" s="137">
        <f t="shared" si="5"/>
        <v>162.59999999999997</v>
      </c>
      <c r="O39" s="137">
        <f t="shared" si="5"/>
        <v>177.846</v>
      </c>
      <c r="P39" s="137">
        <f t="shared" si="5"/>
        <v>194.54400000000004</v>
      </c>
      <c r="Q39" s="137">
        <f t="shared" si="5"/>
        <v>212.69400000000002</v>
      </c>
      <c r="R39" s="137">
        <f t="shared" si="5"/>
        <v>232.296</v>
      </c>
      <c r="S39" s="137">
        <f t="shared" si="5"/>
        <v>253.35000000000002</v>
      </c>
      <c r="T39" s="137">
        <f t="shared" si="6"/>
        <v>275.856</v>
      </c>
      <c r="U39" s="137">
        <f t="shared" si="6"/>
        <v>299.8140000000001</v>
      </c>
      <c r="V39" s="137">
        <f t="shared" si="6"/>
        <v>325.22400000000005</v>
      </c>
      <c r="W39" s="137">
        <f t="shared" si="6"/>
        <v>352.086</v>
      </c>
      <c r="X39" s="138">
        <f t="shared" si="6"/>
        <v>380.4</v>
      </c>
      <c r="Y39" s="137">
        <f t="shared" si="6"/>
        <v>441.384</v>
      </c>
      <c r="Z39" s="137">
        <f t="shared" si="6"/>
        <v>543.75</v>
      </c>
      <c r="AA39" s="137">
        <f t="shared" si="6"/>
        <v>743.4000000000001</v>
      </c>
      <c r="AB39" s="137">
        <f t="shared" si="6"/>
        <v>1251.6000000000001</v>
      </c>
    </row>
    <row r="40" spans="1:28" ht="15">
      <c r="A40" s="169">
        <v>95</v>
      </c>
      <c r="B40" s="125">
        <f t="shared" si="2"/>
        <v>368</v>
      </c>
      <c r="D40" s="137">
        <f t="shared" si="5"/>
        <v>95.73599999999999</v>
      </c>
      <c r="E40" s="137">
        <f t="shared" si="5"/>
        <v>97.94400000000002</v>
      </c>
      <c r="F40" s="137">
        <f t="shared" si="5"/>
        <v>101.62400000000002</v>
      </c>
      <c r="G40" s="137">
        <f t="shared" si="5"/>
        <v>106.77600000000001</v>
      </c>
      <c r="H40" s="137">
        <f t="shared" si="5"/>
        <v>113.40000000000003</v>
      </c>
      <c r="I40" s="137">
        <f t="shared" si="5"/>
        <v>121.49600000000004</v>
      </c>
      <c r="J40" s="137">
        <f t="shared" si="5"/>
        <v>131.06400000000002</v>
      </c>
      <c r="K40" s="137">
        <f t="shared" si="5"/>
        <v>142.10400000000004</v>
      </c>
      <c r="L40" s="138">
        <f t="shared" si="5"/>
        <v>148.17600000000004</v>
      </c>
      <c r="M40" s="137">
        <f t="shared" si="5"/>
        <v>154.61599999999999</v>
      </c>
      <c r="N40" s="137">
        <f t="shared" si="5"/>
        <v>168.59999999999997</v>
      </c>
      <c r="O40" s="137">
        <f t="shared" si="5"/>
        <v>184.05599999999998</v>
      </c>
      <c r="P40" s="137">
        <f t="shared" si="5"/>
        <v>200.98400000000004</v>
      </c>
      <c r="Q40" s="137">
        <f t="shared" si="5"/>
        <v>219.38400000000001</v>
      </c>
      <c r="R40" s="137">
        <f t="shared" si="5"/>
        <v>239.25599999999997</v>
      </c>
      <c r="S40" s="137">
        <f t="shared" si="5"/>
        <v>260.6</v>
      </c>
      <c r="T40" s="137">
        <f t="shared" si="6"/>
        <v>283.41600000000005</v>
      </c>
      <c r="U40" s="137">
        <f t="shared" si="6"/>
        <v>307.70400000000006</v>
      </c>
      <c r="V40" s="137">
        <f t="shared" si="6"/>
        <v>333.46400000000006</v>
      </c>
      <c r="W40" s="137">
        <f t="shared" si="6"/>
        <v>360.696</v>
      </c>
      <c r="X40" s="138">
        <f t="shared" si="6"/>
        <v>389.4</v>
      </c>
      <c r="Y40" s="137">
        <f t="shared" si="6"/>
        <v>451.22400000000005</v>
      </c>
      <c r="Z40" s="137">
        <f t="shared" si="6"/>
        <v>555</v>
      </c>
      <c r="AA40" s="137">
        <f t="shared" si="6"/>
        <v>757.4000000000001</v>
      </c>
      <c r="AB40" s="137">
        <f t="shared" si="6"/>
        <v>1272.6000000000001</v>
      </c>
    </row>
    <row r="41" spans="1:28" ht="15">
      <c r="A41" s="136">
        <v>100</v>
      </c>
      <c r="B41" s="125">
        <f t="shared" si="2"/>
        <v>373</v>
      </c>
      <c r="D41" s="137">
        <f t="shared" si="5"/>
        <v>100.74599999999998</v>
      </c>
      <c r="E41" s="137">
        <f t="shared" si="5"/>
        <v>102.98399999999998</v>
      </c>
      <c r="F41" s="137">
        <f t="shared" si="5"/>
        <v>106.714</v>
      </c>
      <c r="G41" s="137">
        <f t="shared" si="5"/>
        <v>111.93600000000004</v>
      </c>
      <c r="H41" s="137">
        <f t="shared" si="5"/>
        <v>118.65000000000003</v>
      </c>
      <c r="I41" s="137">
        <f t="shared" si="5"/>
        <v>126.85600000000005</v>
      </c>
      <c r="J41" s="137">
        <f t="shared" si="5"/>
        <v>136.55400000000003</v>
      </c>
      <c r="K41" s="137">
        <f t="shared" si="5"/>
        <v>147.74400000000003</v>
      </c>
      <c r="L41" s="138">
        <f t="shared" si="5"/>
        <v>153.8985</v>
      </c>
      <c r="M41" s="137">
        <f t="shared" si="5"/>
        <v>160.426</v>
      </c>
      <c r="N41" s="137">
        <f t="shared" si="5"/>
        <v>174.59999999999997</v>
      </c>
      <c r="O41" s="137">
        <f t="shared" si="5"/>
        <v>190.26600000000002</v>
      </c>
      <c r="P41" s="137">
        <f t="shared" si="5"/>
        <v>207.42400000000004</v>
      </c>
      <c r="Q41" s="137">
        <f t="shared" si="5"/>
        <v>226.074</v>
      </c>
      <c r="R41" s="137">
        <f t="shared" si="5"/>
        <v>246.216</v>
      </c>
      <c r="S41" s="137">
        <f t="shared" si="5"/>
        <v>267.85</v>
      </c>
      <c r="T41" s="137">
        <f t="shared" si="6"/>
        <v>290.976</v>
      </c>
      <c r="U41" s="137">
        <f t="shared" si="6"/>
        <v>315.59400000000005</v>
      </c>
      <c r="V41" s="137">
        <f t="shared" si="6"/>
        <v>341.70400000000006</v>
      </c>
      <c r="W41" s="137">
        <f t="shared" si="6"/>
        <v>369.30600000000004</v>
      </c>
      <c r="X41" s="138">
        <f t="shared" si="6"/>
        <v>398.4</v>
      </c>
      <c r="Y41" s="137">
        <f t="shared" si="6"/>
        <v>461.0640000000001</v>
      </c>
      <c r="Z41" s="137">
        <f t="shared" si="6"/>
        <v>566.25</v>
      </c>
      <c r="AA41" s="137">
        <f t="shared" si="6"/>
        <v>771.4000000000001</v>
      </c>
      <c r="AB41" s="137">
        <f t="shared" si="6"/>
        <v>1293.6000000000001</v>
      </c>
    </row>
    <row r="42" spans="1:28" ht="15">
      <c r="A42" s="136">
        <v>105</v>
      </c>
      <c r="B42" s="125">
        <v>380</v>
      </c>
      <c r="D42" s="137">
        <f t="shared" si="5"/>
        <v>107.75999999999999</v>
      </c>
      <c r="E42" s="137">
        <f t="shared" si="5"/>
        <v>110.04000000000002</v>
      </c>
      <c r="F42" s="137">
        <f t="shared" si="5"/>
        <v>113.84000000000003</v>
      </c>
      <c r="G42" s="137">
        <f t="shared" si="5"/>
        <v>119.16000000000003</v>
      </c>
      <c r="H42" s="137">
        <f aca="true" t="shared" si="7" ref="H42:S44">$B42*(1+0.2*H$3*H$3)-273</f>
        <v>126</v>
      </c>
      <c r="I42" s="137">
        <f t="shared" si="7"/>
        <v>134.36</v>
      </c>
      <c r="J42" s="137">
        <f t="shared" si="7"/>
        <v>144.24</v>
      </c>
      <c r="K42" s="137">
        <f t="shared" si="7"/>
        <v>155.64000000000004</v>
      </c>
      <c r="L42" s="138">
        <f t="shared" si="7"/>
        <v>161.91000000000003</v>
      </c>
      <c r="M42" s="137">
        <f t="shared" si="7"/>
        <v>168.55999999999995</v>
      </c>
      <c r="N42" s="137">
        <f t="shared" si="7"/>
        <v>183</v>
      </c>
      <c r="O42" s="137">
        <f t="shared" si="7"/>
        <v>198.95999999999998</v>
      </c>
      <c r="P42" s="137">
        <f t="shared" si="7"/>
        <v>216.44</v>
      </c>
      <c r="Q42" s="137">
        <f t="shared" si="7"/>
        <v>235.44000000000005</v>
      </c>
      <c r="R42" s="137">
        <f t="shared" si="7"/>
        <v>255.95999999999992</v>
      </c>
      <c r="S42" s="137">
        <f t="shared" si="7"/>
        <v>278.0000000000001</v>
      </c>
      <c r="T42" s="137">
        <f t="shared" si="6"/>
        <v>301.56000000000006</v>
      </c>
      <c r="U42" s="137">
        <f t="shared" si="6"/>
        <v>326.64</v>
      </c>
      <c r="V42" s="137">
        <f t="shared" si="6"/>
        <v>353.24</v>
      </c>
      <c r="W42" s="137">
        <f t="shared" si="6"/>
        <v>381.36</v>
      </c>
      <c r="X42" s="138">
        <f t="shared" si="6"/>
        <v>411</v>
      </c>
      <c r="Y42" s="137">
        <f t="shared" si="6"/>
        <v>474.84000000000003</v>
      </c>
      <c r="Z42" s="137">
        <f t="shared" si="6"/>
        <v>582</v>
      </c>
      <c r="AA42" s="137">
        <f t="shared" si="6"/>
        <v>791</v>
      </c>
      <c r="AB42" s="137">
        <f t="shared" si="6"/>
        <v>1323</v>
      </c>
    </row>
    <row r="43" spans="1:28" ht="15">
      <c r="A43" s="136">
        <v>110</v>
      </c>
      <c r="B43" s="125">
        <v>390</v>
      </c>
      <c r="D43" s="137">
        <f aca="true" t="shared" si="8" ref="D43:G44">$B43*(1+0.2*D$3*D$3)-273</f>
        <v>117.77999999999997</v>
      </c>
      <c r="E43" s="137">
        <f t="shared" si="8"/>
        <v>120.12</v>
      </c>
      <c r="F43" s="137">
        <f t="shared" si="8"/>
        <v>124.01999999999998</v>
      </c>
      <c r="G43" s="137">
        <f t="shared" si="8"/>
        <v>129.48000000000002</v>
      </c>
      <c r="H43" s="137">
        <f t="shared" si="7"/>
        <v>136.5</v>
      </c>
      <c r="I43" s="137">
        <f t="shared" si="7"/>
        <v>145.08000000000004</v>
      </c>
      <c r="J43" s="137">
        <f t="shared" si="7"/>
        <v>155.22000000000003</v>
      </c>
      <c r="K43" s="137">
        <f t="shared" si="7"/>
        <v>166.92000000000007</v>
      </c>
      <c r="L43" s="138">
        <f t="shared" si="7"/>
        <v>173.35500000000002</v>
      </c>
      <c r="M43" s="137">
        <f t="shared" si="7"/>
        <v>180.17999999999995</v>
      </c>
      <c r="N43" s="137">
        <f t="shared" si="7"/>
        <v>195</v>
      </c>
      <c r="O43" s="137">
        <f t="shared" si="7"/>
        <v>211.38</v>
      </c>
      <c r="P43" s="137">
        <f t="shared" si="7"/>
        <v>229.32</v>
      </c>
      <c r="Q43" s="137">
        <f t="shared" si="7"/>
        <v>248.82000000000005</v>
      </c>
      <c r="R43" s="137">
        <f t="shared" si="7"/>
        <v>269.88</v>
      </c>
      <c r="S43" s="137">
        <f t="shared" si="7"/>
        <v>292.5000000000001</v>
      </c>
      <c r="T43" s="137">
        <f t="shared" si="6"/>
        <v>316.67999999999995</v>
      </c>
      <c r="U43" s="137">
        <f t="shared" si="6"/>
        <v>342.4200000000001</v>
      </c>
      <c r="V43" s="137">
        <f t="shared" si="6"/>
        <v>369.72</v>
      </c>
      <c r="W43" s="137">
        <f t="shared" si="6"/>
        <v>398.58000000000004</v>
      </c>
      <c r="X43" s="138">
        <f t="shared" si="6"/>
        <v>429</v>
      </c>
      <c r="Y43" s="137">
        <f t="shared" si="6"/>
        <v>494.5200000000001</v>
      </c>
      <c r="Z43" s="137">
        <f t="shared" si="6"/>
        <v>604.5</v>
      </c>
      <c r="AA43" s="137">
        <f t="shared" si="6"/>
        <v>819</v>
      </c>
      <c r="AB43" s="137">
        <f t="shared" si="6"/>
        <v>1365</v>
      </c>
    </row>
    <row r="44" spans="1:28" ht="15">
      <c r="A44" s="136">
        <v>115</v>
      </c>
      <c r="B44" s="125">
        <v>400</v>
      </c>
      <c r="D44" s="137">
        <f t="shared" si="8"/>
        <v>127.80000000000001</v>
      </c>
      <c r="E44" s="137">
        <f t="shared" si="8"/>
        <v>130.2</v>
      </c>
      <c r="F44" s="137">
        <f t="shared" si="8"/>
        <v>134.2</v>
      </c>
      <c r="G44" s="137">
        <f t="shared" si="8"/>
        <v>139.8</v>
      </c>
      <c r="H44" s="137">
        <f t="shared" si="7"/>
        <v>147</v>
      </c>
      <c r="I44" s="137">
        <f t="shared" si="7"/>
        <v>155.8</v>
      </c>
      <c r="J44" s="137">
        <f t="shared" si="7"/>
        <v>166.20000000000005</v>
      </c>
      <c r="K44" s="137">
        <f t="shared" si="7"/>
        <v>178.20000000000005</v>
      </c>
      <c r="L44" s="138">
        <f t="shared" si="7"/>
        <v>184.8</v>
      </c>
      <c r="M44" s="137">
        <f t="shared" si="7"/>
        <v>191.79999999999995</v>
      </c>
      <c r="N44" s="137">
        <f t="shared" si="7"/>
        <v>207</v>
      </c>
      <c r="O44" s="137">
        <f t="shared" si="7"/>
        <v>223.8</v>
      </c>
      <c r="P44" s="137">
        <f t="shared" si="7"/>
        <v>242.20000000000005</v>
      </c>
      <c r="Q44" s="137">
        <f t="shared" si="7"/>
        <v>262.20000000000005</v>
      </c>
      <c r="R44" s="137">
        <f t="shared" si="7"/>
        <v>283.79999999999995</v>
      </c>
      <c r="S44" s="137">
        <f t="shared" si="7"/>
        <v>307.0000000000001</v>
      </c>
      <c r="T44" s="137">
        <f t="shared" si="6"/>
        <v>331.79999999999995</v>
      </c>
      <c r="U44" s="137">
        <f t="shared" si="6"/>
        <v>358.20000000000005</v>
      </c>
      <c r="V44" s="137">
        <f t="shared" si="6"/>
        <v>386.20000000000005</v>
      </c>
      <c r="W44" s="137">
        <f t="shared" si="6"/>
        <v>415.79999999999995</v>
      </c>
      <c r="X44" s="138">
        <f t="shared" si="6"/>
        <v>447</v>
      </c>
      <c r="Y44" s="137">
        <f t="shared" si="6"/>
        <v>514.2</v>
      </c>
      <c r="Z44" s="137">
        <f t="shared" si="6"/>
        <v>627</v>
      </c>
      <c r="AA44" s="137">
        <f t="shared" si="6"/>
        <v>847</v>
      </c>
      <c r="AB44" s="137">
        <f t="shared" si="6"/>
        <v>1407</v>
      </c>
    </row>
  </sheetData>
  <sheetProtection password="CC26" sheet="1"/>
  <conditionalFormatting sqref="D5:AB44">
    <cfRule type="cellIs" priority="4" dxfId="5" operator="greaterThan" stopIfTrue="1">
      <formula>250</formula>
    </cfRule>
    <cfRule type="cellIs" priority="5" dxfId="1" operator="greaterThan" stopIfTrue="1">
      <formula>100</formula>
    </cfRule>
    <cfRule type="cellIs" priority="6" dxfId="0" operator="lessThan" stopIfTrue="1">
      <formula>0</formula>
    </cfRule>
  </conditionalFormatting>
  <conditionalFormatting sqref="A5:A24 A41:A44">
    <cfRule type="cellIs" priority="1" dxfId="1" operator="greaterThan" stopIfTrue="1">
      <formula>100</formula>
    </cfRule>
    <cfRule type="cellIs" priority="2" dxfId="1" operator="greaterThan" stopIfTrue="1">
      <formula>18</formula>
    </cfRule>
    <cfRule type="cellIs" priority="3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H93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5.421875" style="0" customWidth="1"/>
    <col min="2" max="2" width="6.57421875" style="0" customWidth="1"/>
    <col min="3" max="3" width="7.8515625" style="0" customWidth="1"/>
    <col min="4" max="4" width="7.28125" style="0" customWidth="1"/>
    <col min="5" max="5" width="5.57421875" style="0" customWidth="1"/>
    <col min="6" max="6" width="6.140625" style="0" customWidth="1"/>
    <col min="7" max="7" width="3.8515625" style="0" customWidth="1"/>
    <col min="8" max="8" width="8.28125" style="0" customWidth="1"/>
    <col min="9" max="9" width="6.8515625" style="0" customWidth="1"/>
    <col min="10" max="10" width="7.57421875" style="0" customWidth="1"/>
    <col min="11" max="11" width="7.140625" style="0" customWidth="1"/>
    <col min="12" max="12" width="4.8515625" style="0" customWidth="1"/>
    <col min="13" max="13" width="5.57421875" style="0" customWidth="1"/>
    <col min="14" max="14" width="4.28125" style="0" customWidth="1"/>
    <col min="15" max="15" width="6.57421875" style="0" customWidth="1"/>
    <col min="16" max="16" width="4.57421875" style="0" customWidth="1"/>
    <col min="17" max="17" width="4.8515625" style="0" customWidth="1"/>
    <col min="18" max="18" width="4.421875" style="0" customWidth="1"/>
    <col min="19" max="19" width="5.140625" style="0" customWidth="1"/>
    <col min="20" max="20" width="7.140625" style="0" customWidth="1"/>
    <col min="21" max="21" width="4.7109375" style="0" customWidth="1"/>
    <col min="22" max="23" width="4.421875" style="0" customWidth="1"/>
    <col min="24" max="24" width="5.7109375" style="0" customWidth="1"/>
    <col min="25" max="25" width="5.421875" style="0" customWidth="1"/>
    <col min="26" max="26" width="5.7109375" style="0" customWidth="1"/>
    <col min="27" max="27" width="5.421875" style="0" customWidth="1"/>
    <col min="28" max="28" width="5.00390625" style="0" customWidth="1"/>
    <col min="29" max="29" width="3.8515625" style="0" customWidth="1"/>
    <col min="30" max="30" width="4.7109375" style="0" customWidth="1"/>
    <col min="31" max="31" width="4.140625" style="0" customWidth="1"/>
    <col min="32" max="32" width="4.28125" style="0" customWidth="1"/>
    <col min="33" max="33" width="5.421875" style="0" customWidth="1"/>
    <col min="34" max="34" width="4.140625" style="0" customWidth="1"/>
    <col min="35" max="35" width="4.28125" style="0" customWidth="1"/>
    <col min="36" max="36" width="4.140625" style="0" customWidth="1"/>
    <col min="37" max="37" width="4.28125" style="0" customWidth="1"/>
    <col min="38" max="39" width="4.140625" style="0" customWidth="1"/>
    <col min="40" max="40" width="5.8515625" style="0" customWidth="1"/>
    <col min="41" max="41" width="6.00390625" style="0" customWidth="1"/>
    <col min="42" max="42" width="4.421875" style="0" bestFit="1" customWidth="1"/>
    <col min="43" max="43" width="8.7109375" style="0" customWidth="1"/>
    <col min="44" max="44" width="6.00390625" style="0" customWidth="1"/>
    <col min="45" max="45" width="8.140625" style="0" customWidth="1"/>
    <col min="46" max="46" width="6.8515625" style="0" customWidth="1"/>
    <col min="47" max="47" width="4.140625" style="0" customWidth="1"/>
    <col min="48" max="48" width="9.00390625" style="0" customWidth="1"/>
    <col min="49" max="49" width="7.28125" style="0" customWidth="1"/>
    <col min="50" max="50" width="7.00390625" style="0" customWidth="1"/>
    <col min="51" max="51" width="3.28125" style="251" customWidth="1"/>
    <col min="52" max="52" width="5.140625" style="0" customWidth="1"/>
    <col min="53" max="54" width="7.28125" style="0" customWidth="1"/>
    <col min="55" max="55" width="8.140625" style="0" customWidth="1"/>
    <col min="56" max="56" width="8.421875" style="0" customWidth="1"/>
    <col min="57" max="57" width="8.140625" style="0" customWidth="1"/>
    <col min="58" max="58" width="8.57421875" style="0" hidden="1" customWidth="1"/>
    <col min="59" max="59" width="8.140625" style="0" customWidth="1"/>
    <col min="60" max="60" width="9.421875" style="0" hidden="1" customWidth="1"/>
    <col min="61" max="61" width="8.7109375" style="0" customWidth="1"/>
    <col min="62" max="62" width="7.28125" style="0" customWidth="1"/>
    <col min="63" max="63" width="3.28125" style="251" customWidth="1"/>
    <col min="64" max="64" width="3.28125" style="252" customWidth="1"/>
    <col min="65" max="65" width="7.7109375" style="0" customWidth="1"/>
    <col min="66" max="66" width="8.28125" style="0" customWidth="1"/>
    <col min="67" max="67" width="6.7109375" style="0" customWidth="1"/>
    <col min="68" max="68" width="6.28125" style="0" customWidth="1"/>
    <col min="69" max="70" width="6.7109375" style="0" customWidth="1"/>
    <col min="71" max="71" width="7.00390625" style="0" customWidth="1"/>
    <col min="72" max="72" width="8.140625" style="0" customWidth="1"/>
    <col min="73" max="73" width="2.8515625" style="252" customWidth="1"/>
    <col min="74" max="74" width="9.28125" style="338" customWidth="1"/>
    <col min="75" max="75" width="5.28125" style="92" customWidth="1"/>
    <col min="76" max="76" width="5.8515625" style="256" customWidth="1"/>
    <col min="77" max="77" width="5.28125" style="0" customWidth="1"/>
    <col min="78" max="78" width="6.8515625" style="92" customWidth="1"/>
    <col min="79" max="79" width="5.8515625" style="92" customWidth="1"/>
    <col min="80" max="80" width="7.57421875" style="340" customWidth="1"/>
    <col min="81" max="81" width="6.140625" style="0" customWidth="1"/>
    <col min="82" max="82" width="5.57421875" style="92" customWidth="1"/>
    <col min="83" max="83" width="7.7109375" style="125" customWidth="1"/>
    <col min="84" max="84" width="5.8515625" style="92" customWidth="1"/>
    <col min="85" max="85" width="5.8515625" style="256" customWidth="1"/>
    <col min="86" max="86" width="6.7109375" style="92" customWidth="1"/>
  </cols>
  <sheetData>
    <row r="1" spans="2:86" s="50" customFormat="1" ht="12.75" thickBot="1">
      <c r="B1" s="50" t="s">
        <v>86</v>
      </c>
      <c r="G1" s="50" t="s">
        <v>87</v>
      </c>
      <c r="H1" s="50" t="s">
        <v>88</v>
      </c>
      <c r="Y1" s="170" t="s">
        <v>327</v>
      </c>
      <c r="Z1" s="170" t="s">
        <v>328</v>
      </c>
      <c r="AA1" s="170" t="s">
        <v>329</v>
      </c>
      <c r="AY1" s="171"/>
      <c r="BK1" s="171"/>
      <c r="BL1" s="172"/>
      <c r="BM1" s="173" t="s">
        <v>330</v>
      </c>
      <c r="BN1" s="174">
        <v>1.5</v>
      </c>
      <c r="BO1" s="50">
        <f aca="true" t="shared" si="0" ref="BO1:BT1">BO8-1.5</f>
        <v>0.41999999999999993</v>
      </c>
      <c r="BP1" s="50">
        <f t="shared" si="0"/>
        <v>-1.38</v>
      </c>
      <c r="BQ1" s="50">
        <f t="shared" si="0"/>
        <v>-3</v>
      </c>
      <c r="BR1" s="50">
        <f t="shared" si="0"/>
        <v>-3.1226415094339623</v>
      </c>
      <c r="BS1" s="50">
        <f t="shared" si="0"/>
        <v>-3.216981132075472</v>
      </c>
      <c r="BT1" s="50">
        <f t="shared" si="0"/>
        <v>-3.5</v>
      </c>
      <c r="BU1" s="172"/>
      <c r="BV1" s="175"/>
      <c r="BW1" s="176"/>
      <c r="BX1" s="177"/>
      <c r="BZ1" s="176"/>
      <c r="CA1" s="176"/>
      <c r="CB1" s="178"/>
      <c r="CD1" s="176"/>
      <c r="CE1" s="74"/>
      <c r="CF1" s="176"/>
      <c r="CG1" s="177"/>
      <c r="CH1" s="176"/>
    </row>
    <row r="2" spans="2:86" s="61" customFormat="1" ht="36">
      <c r="B2" s="62" t="s">
        <v>89</v>
      </c>
      <c r="C2" s="62" t="s">
        <v>90</v>
      </c>
      <c r="D2" s="62"/>
      <c r="E2" s="62" t="s">
        <v>91</v>
      </c>
      <c r="F2" s="62" t="s">
        <v>92</v>
      </c>
      <c r="G2" s="62" t="s">
        <v>93</v>
      </c>
      <c r="H2" s="62" t="s">
        <v>94</v>
      </c>
      <c r="I2" s="62" t="s">
        <v>95</v>
      </c>
      <c r="J2" s="62" t="s">
        <v>96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179">
        <f>T7</f>
        <v>-25</v>
      </c>
      <c r="Z2" s="61">
        <f>Y2+E3</f>
        <v>263.15</v>
      </c>
      <c r="AA2" s="179">
        <f>T6</f>
        <v>980</v>
      </c>
      <c r="AY2" s="180"/>
      <c r="BK2" s="180"/>
      <c r="BL2" s="815" t="s">
        <v>331</v>
      </c>
      <c r="BM2" s="812"/>
      <c r="BN2" s="174">
        <v>10</v>
      </c>
      <c r="BO2" s="61">
        <f aca="true" t="shared" si="1" ref="BO2:BT2">$BN2</f>
        <v>10</v>
      </c>
      <c r="BP2" s="61">
        <f t="shared" si="1"/>
        <v>10</v>
      </c>
      <c r="BQ2" s="61">
        <f t="shared" si="1"/>
        <v>10</v>
      </c>
      <c r="BR2" s="61">
        <f t="shared" si="1"/>
        <v>10</v>
      </c>
      <c r="BS2" s="61">
        <f t="shared" si="1"/>
        <v>10</v>
      </c>
      <c r="BT2" s="61">
        <f t="shared" si="1"/>
        <v>10</v>
      </c>
      <c r="BU2" s="181"/>
      <c r="BV2" s="182"/>
      <c r="BW2" s="183"/>
      <c r="BX2" s="184"/>
      <c r="BZ2" s="183"/>
      <c r="CA2" s="183"/>
      <c r="CB2" s="185"/>
      <c r="CC2" s="186" t="s">
        <v>332</v>
      </c>
      <c r="CD2" s="183"/>
      <c r="CF2" s="183"/>
      <c r="CG2" s="184"/>
      <c r="CH2" s="183"/>
    </row>
    <row r="3" spans="1:86" s="188" customFormat="1" ht="15.75">
      <c r="A3" s="65" t="s">
        <v>100</v>
      </c>
      <c r="B3" s="66">
        <v>9.80665</v>
      </c>
      <c r="C3" s="66">
        <v>1013.25</v>
      </c>
      <c r="D3" s="66"/>
      <c r="E3" s="66">
        <v>288.15</v>
      </c>
      <c r="F3" s="66">
        <v>1.402</v>
      </c>
      <c r="G3" s="66">
        <f>8.31447</f>
        <v>8.31447</v>
      </c>
      <c r="H3" s="66">
        <f>28.9644/1000</f>
        <v>0.0289644</v>
      </c>
      <c r="I3" s="66">
        <v>1.2255</v>
      </c>
      <c r="J3" s="66">
        <v>340.3</v>
      </c>
      <c r="K3" s="66"/>
      <c r="L3" s="66" t="s">
        <v>333</v>
      </c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187" t="s">
        <v>334</v>
      </c>
      <c r="Z3" s="187" t="s">
        <v>334</v>
      </c>
      <c r="AA3" s="187" t="s">
        <v>335</v>
      </c>
      <c r="AC3" s="188">
        <f>H3*I3/I11</f>
        <v>0.019899793499282715</v>
      </c>
      <c r="AM3" s="188" t="s">
        <v>336</v>
      </c>
      <c r="AN3" s="188">
        <f>G3/H3</f>
        <v>287.0582508182458</v>
      </c>
      <c r="AO3" s="188" t="s">
        <v>337</v>
      </c>
      <c r="AY3" s="189"/>
      <c r="BG3" s="190"/>
      <c r="BH3" s="190"/>
      <c r="BI3" s="190"/>
      <c r="BJ3" s="190"/>
      <c r="BK3" s="189"/>
      <c r="BL3" s="190"/>
      <c r="BM3" s="191" t="s">
        <v>338</v>
      </c>
      <c r="BN3" s="192" t="s">
        <v>339</v>
      </c>
      <c r="BO3" s="192"/>
      <c r="BP3" s="192" t="s">
        <v>340</v>
      </c>
      <c r="BQ3" s="192" t="s">
        <v>341</v>
      </c>
      <c r="BR3" s="192"/>
      <c r="BS3" s="192" t="s">
        <v>342</v>
      </c>
      <c r="BT3" s="193" t="s">
        <v>343</v>
      </c>
      <c r="BU3" s="190"/>
      <c r="BV3" s="194"/>
      <c r="BW3" s="195"/>
      <c r="BX3" s="196"/>
      <c r="BZ3" s="183"/>
      <c r="CA3" s="183"/>
      <c r="CB3" s="185"/>
      <c r="CC3" s="197" t="s">
        <v>344</v>
      </c>
      <c r="CD3" s="195"/>
      <c r="CE3" s="187"/>
      <c r="CF3" s="195"/>
      <c r="CG3" s="196"/>
      <c r="CH3" s="195"/>
    </row>
    <row r="4" spans="1:86" s="50" customFormat="1" ht="12.75" customHeight="1" thickBot="1">
      <c r="A4" s="68" t="s">
        <v>101</v>
      </c>
      <c r="B4" s="69" t="s">
        <v>102</v>
      </c>
      <c r="C4" s="70"/>
      <c r="D4" s="70"/>
      <c r="E4" s="70"/>
      <c r="F4" s="70"/>
      <c r="G4" s="70"/>
      <c r="H4" s="50" t="s">
        <v>105</v>
      </c>
      <c r="L4" s="50">
        <f>G3/H3</f>
        <v>287.0582508182458</v>
      </c>
      <c r="M4" s="71" t="s">
        <v>345</v>
      </c>
      <c r="T4" s="816" t="s">
        <v>346</v>
      </c>
      <c r="AN4" s="198" t="s">
        <v>347</v>
      </c>
      <c r="AY4" s="171"/>
      <c r="BK4" s="171"/>
      <c r="BL4" s="172"/>
      <c r="BM4" s="173" t="s">
        <v>348</v>
      </c>
      <c r="BN4" s="174">
        <v>-94</v>
      </c>
      <c r="BO4" s="199">
        <v>-85</v>
      </c>
      <c r="BP4" s="199">
        <v>-70</v>
      </c>
      <c r="BQ4" s="174">
        <v>-56.5</v>
      </c>
      <c r="BR4" s="200">
        <v>-50</v>
      </c>
      <c r="BS4" s="199">
        <v>-45</v>
      </c>
      <c r="BT4" s="174">
        <v>-30</v>
      </c>
      <c r="BU4" s="172"/>
      <c r="BV4" s="175"/>
      <c r="BW4" s="176"/>
      <c r="BX4" s="177"/>
      <c r="BZ4" s="183"/>
      <c r="CA4" s="183"/>
      <c r="CB4" s="185"/>
      <c r="CC4" s="201">
        <v>100</v>
      </c>
      <c r="CD4" s="176"/>
      <c r="CE4" s="74"/>
      <c r="CF4" s="176"/>
      <c r="CG4" s="177"/>
      <c r="CH4" s="176"/>
    </row>
    <row r="5" spans="1:86" s="74" customFormat="1" ht="17.25" customHeight="1" thickBot="1" thickTop="1">
      <c r="A5" s="72">
        <v>6400</v>
      </c>
      <c r="B5" s="73" t="s">
        <v>106</v>
      </c>
      <c r="C5" s="73" t="s">
        <v>107</v>
      </c>
      <c r="D5" s="73"/>
      <c r="E5" s="73" t="s">
        <v>108</v>
      </c>
      <c r="F5" s="73" t="s">
        <v>109</v>
      </c>
      <c r="G5" s="73" t="s">
        <v>110</v>
      </c>
      <c r="J5" s="75" t="s">
        <v>111</v>
      </c>
      <c r="K5" s="202"/>
      <c r="L5" s="202"/>
      <c r="M5" s="202"/>
      <c r="N5" s="202"/>
      <c r="O5" s="202"/>
      <c r="P5" s="202"/>
      <c r="Q5" s="202"/>
      <c r="T5" s="817"/>
      <c r="Y5" s="203"/>
      <c r="Z5" s="203" t="s">
        <v>349</v>
      </c>
      <c r="AA5" s="203"/>
      <c r="AD5" s="88"/>
      <c r="AE5" s="88"/>
      <c r="AF5" s="88" t="s">
        <v>350</v>
      </c>
      <c r="AG5" s="204">
        <v>36000</v>
      </c>
      <c r="AH5" s="74" t="s">
        <v>5</v>
      </c>
      <c r="AN5" s="205">
        <f>POWER(F3*G3/H3,0.5)</f>
        <v>20.06129775580784</v>
      </c>
      <c r="AO5" s="206" t="s">
        <v>351</v>
      </c>
      <c r="AV5" s="816" t="s">
        <v>346</v>
      </c>
      <c r="AY5" s="207"/>
      <c r="BD5" s="74">
        <f>((1-$F$3)/$F$3)*($H$3*$B$3/($E$3*$G$3))/1000</f>
        <v>-3.399460951590974E-08</v>
      </c>
      <c r="BK5" s="207"/>
      <c r="BL5" s="208"/>
      <c r="BM5" s="173" t="s">
        <v>352</v>
      </c>
      <c r="BN5" s="174">
        <v>15.5</v>
      </c>
      <c r="BO5" s="74">
        <f aca="true" t="shared" si="2" ref="BO5:BP8">$BN5+(BO$4-$BN$4)*($BQ5-$BN5)/($BQ$4-$BN$4)</f>
        <v>14.42</v>
      </c>
      <c r="BP5" s="74">
        <f t="shared" si="2"/>
        <v>12.620000000000001</v>
      </c>
      <c r="BQ5" s="174">
        <v>11</v>
      </c>
      <c r="BR5" s="74">
        <f aca="true" t="shared" si="3" ref="BR5:BS8">$BQ5+(BR$4-$BQ$4)*($BT5-$BQ5)/($BT$4-$BQ$4)</f>
        <v>11.13245283018868</v>
      </c>
      <c r="BS5" s="74">
        <f t="shared" si="3"/>
        <v>11.234339622641508</v>
      </c>
      <c r="BT5" s="174">
        <v>11.54</v>
      </c>
      <c r="BU5" s="208"/>
      <c r="BV5" s="209"/>
      <c r="BW5" s="210"/>
      <c r="BX5" s="211"/>
      <c r="BZ5" s="210"/>
      <c r="CA5" s="210"/>
      <c r="CB5" s="178"/>
      <c r="CD5" s="210"/>
      <c r="CF5" s="210"/>
      <c r="CG5" s="211"/>
      <c r="CH5" s="210"/>
    </row>
    <row r="6" spans="2:86" s="74" customFormat="1" ht="15.75" customHeight="1" thickBot="1" thickTop="1">
      <c r="B6" s="76">
        <f>1/1852</f>
        <v>0.0005399568034557236</v>
      </c>
      <c r="C6" s="76">
        <v>1852</v>
      </c>
      <c r="D6" s="73"/>
      <c r="E6" s="76">
        <v>0.3048</v>
      </c>
      <c r="F6" s="73">
        <v>0.06894</v>
      </c>
      <c r="G6" s="76">
        <v>1.33322</v>
      </c>
      <c r="S6" s="212" t="s">
        <v>353</v>
      </c>
      <c r="T6" s="213">
        <v>980</v>
      </c>
      <c r="U6" s="74" t="s">
        <v>114</v>
      </c>
      <c r="Z6" s="214">
        <f>1000*$E$6*(($H$3*$B$3)/$G$3)*((1-$F$3)/$F$3)+1.04</f>
        <v>-1.945682643916463</v>
      </c>
      <c r="AA6" s="208">
        <f>Z6/(1000*$E$6)</f>
        <v>-0.0063834732411957446</v>
      </c>
      <c r="AB6" s="208" t="s">
        <v>354</v>
      </c>
      <c r="AN6" s="205">
        <f>AN5*C6/1000</f>
        <v>37.153523443756114</v>
      </c>
      <c r="AO6" s="206" t="s">
        <v>355</v>
      </c>
      <c r="AV6" s="818"/>
      <c r="AY6" s="207"/>
      <c r="BK6" s="207"/>
      <c r="BL6" s="208"/>
      <c r="BM6" s="173" t="s">
        <v>356</v>
      </c>
      <c r="BN6" s="174">
        <v>4.72</v>
      </c>
      <c r="BO6" s="74">
        <f t="shared" si="2"/>
        <v>5.1472</v>
      </c>
      <c r="BP6" s="74">
        <f t="shared" si="2"/>
        <v>5.8591999999999995</v>
      </c>
      <c r="BQ6" s="174">
        <v>6.5</v>
      </c>
      <c r="BR6" s="74">
        <f t="shared" si="3"/>
        <v>6.5</v>
      </c>
      <c r="BS6" s="74">
        <f t="shared" si="3"/>
        <v>6.5</v>
      </c>
      <c r="BT6" s="174">
        <v>6.5</v>
      </c>
      <c r="BU6" s="208"/>
      <c r="BV6" s="209"/>
      <c r="BW6" s="210"/>
      <c r="BX6" s="211"/>
      <c r="BZ6" s="210"/>
      <c r="CA6" s="210"/>
      <c r="CB6" s="178"/>
      <c r="CC6" s="215" t="s">
        <v>357</v>
      </c>
      <c r="CD6" s="216"/>
      <c r="CE6" s="217"/>
      <c r="CF6" s="210"/>
      <c r="CG6" s="211"/>
      <c r="CH6" s="210"/>
    </row>
    <row r="7" spans="2:86" s="74" customFormat="1" ht="16.5" customHeight="1" thickBot="1" thickTop="1">
      <c r="B7" s="73" t="s">
        <v>112</v>
      </c>
      <c r="C7" s="73" t="s">
        <v>2</v>
      </c>
      <c r="D7" s="73"/>
      <c r="E7" s="73" t="s">
        <v>2</v>
      </c>
      <c r="F7" s="73" t="s">
        <v>113</v>
      </c>
      <c r="G7" s="73" t="s">
        <v>114</v>
      </c>
      <c r="I7" s="218" t="s">
        <v>358</v>
      </c>
      <c r="S7" s="219" t="s">
        <v>359</v>
      </c>
      <c r="T7" s="220">
        <v>-25</v>
      </c>
      <c r="U7" s="74" t="s">
        <v>360</v>
      </c>
      <c r="AA7" s="221">
        <f>AA6*1000</f>
        <v>-6.383473241195745</v>
      </c>
      <c r="AB7" s="221" t="s">
        <v>361</v>
      </c>
      <c r="AC7" s="816" t="s">
        <v>346</v>
      </c>
      <c r="AE7" s="222" t="s">
        <v>20</v>
      </c>
      <c r="AF7" s="222"/>
      <c r="AG7" s="222"/>
      <c r="AH7" s="222"/>
      <c r="AI7" s="222"/>
      <c r="AJ7" s="222"/>
      <c r="AK7" s="222" t="s">
        <v>20</v>
      </c>
      <c r="AL7" s="222" t="s">
        <v>20</v>
      </c>
      <c r="AM7" s="222" t="s">
        <v>20</v>
      </c>
      <c r="AN7" s="205"/>
      <c r="AS7" s="223"/>
      <c r="AT7" s="223"/>
      <c r="AY7" s="207"/>
      <c r="AZ7" s="207"/>
      <c r="BA7" s="207"/>
      <c r="BB7" s="224"/>
      <c r="BC7" s="225" t="s">
        <v>362</v>
      </c>
      <c r="BD7" s="207"/>
      <c r="BE7" s="207"/>
      <c r="BF7" s="207"/>
      <c r="BG7" s="207"/>
      <c r="BH7" s="207"/>
      <c r="BI7" s="207"/>
      <c r="BJ7" s="207"/>
      <c r="BK7" s="207"/>
      <c r="BL7" s="222"/>
      <c r="BM7" s="226" t="s">
        <v>363</v>
      </c>
      <c r="BN7" s="227">
        <v>-50</v>
      </c>
      <c r="BO7" s="228">
        <f t="shared" si="2"/>
        <v>-34.4</v>
      </c>
      <c r="BP7" s="228">
        <f t="shared" si="2"/>
        <v>-8.399999999999999</v>
      </c>
      <c r="BQ7" s="227">
        <v>15</v>
      </c>
      <c r="BR7" s="229">
        <f t="shared" si="3"/>
        <v>22.358490566037737</v>
      </c>
      <c r="BS7" s="229">
        <f t="shared" si="3"/>
        <v>28.0188679245283</v>
      </c>
      <c r="BT7" s="227">
        <v>45</v>
      </c>
      <c r="BU7" s="208"/>
      <c r="BV7" s="230" t="s">
        <v>364</v>
      </c>
      <c r="BW7" s="231"/>
      <c r="BX7" s="231"/>
      <c r="BY7" s="232"/>
      <c r="BZ7" s="210"/>
      <c r="CA7" s="210"/>
      <c r="CB7" s="178"/>
      <c r="CC7" s="233" t="s">
        <v>365</v>
      </c>
      <c r="CD7" s="234"/>
      <c r="CE7" s="235">
        <v>1013</v>
      </c>
      <c r="CF7" s="236" t="s">
        <v>114</v>
      </c>
      <c r="CG7" s="211"/>
      <c r="CH7" s="210"/>
    </row>
    <row r="8" spans="1:86" ht="15" customHeight="1" thickBot="1" thickTop="1">
      <c r="A8" s="218" t="s">
        <v>366</v>
      </c>
      <c r="D8" t="s">
        <v>367</v>
      </c>
      <c r="E8" s="237" t="s">
        <v>368</v>
      </c>
      <c r="F8" s="218"/>
      <c r="G8" s="218"/>
      <c r="H8" s="218"/>
      <c r="I8" s="218"/>
      <c r="J8" s="238" t="s">
        <v>369</v>
      </c>
      <c r="K8" s="218"/>
      <c r="L8" s="239" t="s">
        <v>370</v>
      </c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40" t="s">
        <v>371</v>
      </c>
      <c r="Z8" s="241" t="s">
        <v>372</v>
      </c>
      <c r="AC8" s="817"/>
      <c r="AD8" s="218" t="s">
        <v>373</v>
      </c>
      <c r="AE8" s="242" t="s">
        <v>374</v>
      </c>
      <c r="AF8" s="242"/>
      <c r="AG8" s="242"/>
      <c r="AH8" s="242"/>
      <c r="AI8" s="242"/>
      <c r="AJ8" s="242"/>
      <c r="AK8" s="243"/>
      <c r="AL8" s="243"/>
      <c r="AM8" s="243"/>
      <c r="AN8" s="218" t="s">
        <v>19</v>
      </c>
      <c r="AO8" s="218"/>
      <c r="AP8" s="218"/>
      <c r="AQ8" s="244" t="s">
        <v>375</v>
      </c>
      <c r="AR8" s="218"/>
      <c r="AS8" s="245" t="s">
        <v>376</v>
      </c>
      <c r="AT8" s="246"/>
      <c r="AV8" s="247" t="s">
        <v>377</v>
      </c>
      <c r="AX8" s="248" t="s">
        <v>378</v>
      </c>
      <c r="AY8" s="249"/>
      <c r="AZ8" s="250"/>
      <c r="BA8" s="250"/>
      <c r="BB8" s="250"/>
      <c r="BC8" s="250"/>
      <c r="BD8" s="250"/>
      <c r="BE8" s="250"/>
      <c r="BF8" s="250"/>
      <c r="BG8" s="250"/>
      <c r="BH8" s="250"/>
      <c r="BI8" s="250" t="s">
        <v>379</v>
      </c>
      <c r="BJ8" s="250"/>
      <c r="BM8" s="253" t="s">
        <v>380</v>
      </c>
      <c r="BN8" s="174">
        <v>3</v>
      </c>
      <c r="BO8" s="74">
        <f t="shared" si="2"/>
        <v>1.92</v>
      </c>
      <c r="BP8" s="74">
        <f t="shared" si="2"/>
        <v>0.1200000000000001</v>
      </c>
      <c r="BQ8" s="174">
        <v>-1.5</v>
      </c>
      <c r="BR8" s="74">
        <f t="shared" si="3"/>
        <v>-1.6226415094339623</v>
      </c>
      <c r="BS8" s="74">
        <f t="shared" si="3"/>
        <v>-1.7169811320754718</v>
      </c>
      <c r="BT8" s="174">
        <v>-2</v>
      </c>
      <c r="BV8" s="254" t="s">
        <v>381</v>
      </c>
      <c r="BW8" s="255" t="s">
        <v>382</v>
      </c>
      <c r="BX8" s="256" t="s">
        <v>382</v>
      </c>
      <c r="BY8" s="257">
        <v>200</v>
      </c>
      <c r="BZ8" s="255" t="s">
        <v>383</v>
      </c>
      <c r="CA8" s="255" t="s">
        <v>384</v>
      </c>
      <c r="CB8" s="258" t="s">
        <v>322</v>
      </c>
      <c r="CC8" s="259" t="s">
        <v>383</v>
      </c>
      <c r="CD8" s="260" t="s">
        <v>384</v>
      </c>
      <c r="CE8" s="261" t="s">
        <v>322</v>
      </c>
      <c r="CF8" s="262" t="s">
        <v>385</v>
      </c>
      <c r="CG8" s="263"/>
      <c r="CH8" s="264"/>
    </row>
    <row r="9" spans="1:86" s="2" customFormat="1" ht="12.75" customHeight="1" thickTop="1">
      <c r="A9" s="2" t="s">
        <v>386</v>
      </c>
      <c r="B9" s="2" t="s">
        <v>387</v>
      </c>
      <c r="C9" s="2" t="s">
        <v>388</v>
      </c>
      <c r="D9" s="265" t="s">
        <v>389</v>
      </c>
      <c r="E9" s="266" t="s">
        <v>390</v>
      </c>
      <c r="F9" s="267" t="s">
        <v>391</v>
      </c>
      <c r="G9" s="2" t="s">
        <v>392</v>
      </c>
      <c r="H9" s="2" t="s">
        <v>393</v>
      </c>
      <c r="I9" s="2" t="s">
        <v>394</v>
      </c>
      <c r="J9" s="268" t="s">
        <v>379</v>
      </c>
      <c r="K9" s="269" t="s">
        <v>395</v>
      </c>
      <c r="L9" s="269" t="s">
        <v>395</v>
      </c>
      <c r="M9" s="269" t="s">
        <v>395</v>
      </c>
      <c r="N9" s="269" t="s">
        <v>395</v>
      </c>
      <c r="O9" s="269" t="s">
        <v>395</v>
      </c>
      <c r="P9" s="269" t="s">
        <v>395</v>
      </c>
      <c r="Q9" s="269" t="s">
        <v>395</v>
      </c>
      <c r="R9" s="269" t="s">
        <v>395</v>
      </c>
      <c r="S9" s="269" t="s">
        <v>395</v>
      </c>
      <c r="T9" s="269" t="s">
        <v>395</v>
      </c>
      <c r="U9" s="269" t="s">
        <v>395</v>
      </c>
      <c r="V9" s="269" t="s">
        <v>395</v>
      </c>
      <c r="W9" s="269" t="s">
        <v>395</v>
      </c>
      <c r="X9" s="270" t="s">
        <v>390</v>
      </c>
      <c r="Y9" s="270" t="s">
        <v>390</v>
      </c>
      <c r="Z9" s="271" t="s">
        <v>396</v>
      </c>
      <c r="AA9" s="272" t="s">
        <v>397</v>
      </c>
      <c r="AB9" s="273" t="s">
        <v>398</v>
      </c>
      <c r="AC9" s="274"/>
      <c r="AD9" s="275" t="s">
        <v>399</v>
      </c>
      <c r="AE9" s="276" t="s">
        <v>400</v>
      </c>
      <c r="AF9" s="276" t="s">
        <v>400</v>
      </c>
      <c r="AG9" s="276" t="s">
        <v>400</v>
      </c>
      <c r="AH9" s="276" t="s">
        <v>400</v>
      </c>
      <c r="AI9" s="276" t="s">
        <v>400</v>
      </c>
      <c r="AJ9" s="276" t="s">
        <v>400</v>
      </c>
      <c r="AK9" s="276" t="s">
        <v>400</v>
      </c>
      <c r="AL9" s="276" t="s">
        <v>400</v>
      </c>
      <c r="AM9" s="276" t="s">
        <v>400</v>
      </c>
      <c r="AN9" s="277" t="s">
        <v>401</v>
      </c>
      <c r="AO9" s="277" t="s">
        <v>402</v>
      </c>
      <c r="AP9" s="277" t="s">
        <v>402</v>
      </c>
      <c r="AQ9" s="277" t="s">
        <v>403</v>
      </c>
      <c r="AR9" s="277" t="s">
        <v>403</v>
      </c>
      <c r="AS9" s="278" t="s">
        <v>404</v>
      </c>
      <c r="AT9" s="279" t="s">
        <v>392</v>
      </c>
      <c r="AU9" s="280"/>
      <c r="AV9" s="281" t="s">
        <v>405</v>
      </c>
      <c r="AW9" s="282" t="s">
        <v>406</v>
      </c>
      <c r="AX9" s="283" t="str">
        <f aca="true" t="shared" si="4" ref="AX9:AX45">C9</f>
        <v>z</v>
      </c>
      <c r="AY9" s="249"/>
      <c r="AZ9" s="284" t="s">
        <v>387</v>
      </c>
      <c r="BA9" s="284" t="s">
        <v>31</v>
      </c>
      <c r="BB9" s="284" t="s">
        <v>407</v>
      </c>
      <c r="BC9" s="285" t="s">
        <v>408</v>
      </c>
      <c r="BD9" s="285" t="s">
        <v>409</v>
      </c>
      <c r="BE9" s="285" t="s">
        <v>410</v>
      </c>
      <c r="BF9" s="285" t="s">
        <v>411</v>
      </c>
      <c r="BG9" s="285" t="s">
        <v>412</v>
      </c>
      <c r="BH9" s="286" t="s">
        <v>413</v>
      </c>
      <c r="BI9" s="287" t="s">
        <v>414</v>
      </c>
      <c r="BJ9" s="286" t="s">
        <v>415</v>
      </c>
      <c r="BK9" s="251"/>
      <c r="BL9" s="252"/>
      <c r="BM9" s="288" t="s">
        <v>416</v>
      </c>
      <c r="BN9" s="286" t="s">
        <v>417</v>
      </c>
      <c r="BO9" s="286" t="s">
        <v>418</v>
      </c>
      <c r="BP9" s="286" t="s">
        <v>418</v>
      </c>
      <c r="BQ9" s="286" t="s">
        <v>419</v>
      </c>
      <c r="BR9" s="286" t="s">
        <v>420</v>
      </c>
      <c r="BS9" s="286" t="s">
        <v>420</v>
      </c>
      <c r="BT9" s="286" t="s">
        <v>421</v>
      </c>
      <c r="BU9" s="252"/>
      <c r="BV9" s="289"/>
      <c r="BW9" s="290" t="s">
        <v>422</v>
      </c>
      <c r="BX9" s="291" t="s">
        <v>20</v>
      </c>
      <c r="BY9" s="257" t="s">
        <v>20</v>
      </c>
      <c r="BZ9" s="292"/>
      <c r="CA9" s="292"/>
      <c r="CB9" s="293"/>
      <c r="CC9" s="294"/>
      <c r="CD9" s="295"/>
      <c r="CE9" s="296"/>
      <c r="CF9" s="264"/>
      <c r="CG9" s="263"/>
      <c r="CH9" s="264"/>
    </row>
    <row r="10" spans="1:86" s="91" customFormat="1" ht="12.75" customHeight="1" thickBot="1">
      <c r="A10" s="91" t="s">
        <v>423</v>
      </c>
      <c r="B10" s="91" t="s">
        <v>424</v>
      </c>
      <c r="C10" s="91" t="s">
        <v>425</v>
      </c>
      <c r="D10" s="91" t="s">
        <v>335</v>
      </c>
      <c r="E10" s="297" t="s">
        <v>335</v>
      </c>
      <c r="F10" s="91" t="s">
        <v>334</v>
      </c>
      <c r="G10" s="91" t="s">
        <v>426</v>
      </c>
      <c r="H10" s="91" t="s">
        <v>427</v>
      </c>
      <c r="I10" s="91" t="s">
        <v>428</v>
      </c>
      <c r="J10" s="91" t="s">
        <v>429</v>
      </c>
      <c r="K10" s="298">
        <v>200</v>
      </c>
      <c r="L10" s="298">
        <v>300</v>
      </c>
      <c r="M10" s="298">
        <v>320</v>
      </c>
      <c r="N10" s="298">
        <v>340</v>
      </c>
      <c r="O10" s="298">
        <v>1000</v>
      </c>
      <c r="P10" s="298">
        <v>380</v>
      </c>
      <c r="Q10" s="298">
        <v>400</v>
      </c>
      <c r="R10" s="298">
        <v>420</v>
      </c>
      <c r="S10" s="298">
        <v>440</v>
      </c>
      <c r="T10" s="298">
        <v>460</v>
      </c>
      <c r="U10" s="298">
        <v>480</v>
      </c>
      <c r="V10" s="298">
        <v>500</v>
      </c>
      <c r="W10" s="298">
        <v>600</v>
      </c>
      <c r="X10" s="299" t="s">
        <v>430</v>
      </c>
      <c r="Y10" s="299" t="s">
        <v>431</v>
      </c>
      <c r="Z10" s="300" t="s">
        <v>335</v>
      </c>
      <c r="AA10" s="301" t="s">
        <v>114</v>
      </c>
      <c r="AB10" s="302" t="s">
        <v>432</v>
      </c>
      <c r="AC10" s="303" t="s">
        <v>323</v>
      </c>
      <c r="AD10" s="304" t="s">
        <v>433</v>
      </c>
      <c r="AE10" s="305">
        <v>0.3</v>
      </c>
      <c r="AF10" s="305">
        <v>0.4</v>
      </c>
      <c r="AG10" s="305">
        <v>0.5</v>
      </c>
      <c r="AH10" s="305">
        <v>0.6</v>
      </c>
      <c r="AI10" s="305">
        <v>0.7</v>
      </c>
      <c r="AJ10" s="305">
        <v>0.8</v>
      </c>
      <c r="AK10" s="305">
        <v>0.9</v>
      </c>
      <c r="AL10" s="305">
        <v>1</v>
      </c>
      <c r="AM10" s="305">
        <v>1.2</v>
      </c>
      <c r="AN10" s="306" t="s">
        <v>434</v>
      </c>
      <c r="AO10" s="306" t="s">
        <v>435</v>
      </c>
      <c r="AP10" s="306" t="s">
        <v>436</v>
      </c>
      <c r="AQ10" s="205" t="s">
        <v>437</v>
      </c>
      <c r="AR10" s="306" t="s">
        <v>438</v>
      </c>
      <c r="AS10" s="307" t="s">
        <v>334</v>
      </c>
      <c r="AT10" s="307" t="s">
        <v>426</v>
      </c>
      <c r="AU10" s="280"/>
      <c r="AV10" s="281" t="s">
        <v>424</v>
      </c>
      <c r="AW10" s="280" t="s">
        <v>439</v>
      </c>
      <c r="AX10" s="308" t="str">
        <f t="shared" si="4"/>
        <v>(foot)</v>
      </c>
      <c r="AY10" s="249"/>
      <c r="AZ10" s="309" t="s">
        <v>101</v>
      </c>
      <c r="BA10" s="309" t="s">
        <v>334</v>
      </c>
      <c r="BB10" s="205" t="s">
        <v>440</v>
      </c>
      <c r="BC10" s="205" t="s">
        <v>440</v>
      </c>
      <c r="BD10" s="91" t="s">
        <v>335</v>
      </c>
      <c r="BE10" s="205" t="s">
        <v>440</v>
      </c>
      <c r="BF10" s="91" t="s">
        <v>434</v>
      </c>
      <c r="BG10" s="205" t="s">
        <v>440</v>
      </c>
      <c r="BH10" s="91" t="s">
        <v>441</v>
      </c>
      <c r="BI10" s="205" t="s">
        <v>440</v>
      </c>
      <c r="BJ10" s="310" t="s">
        <v>442</v>
      </c>
      <c r="BK10" s="269"/>
      <c r="BL10" s="311"/>
      <c r="BM10" s="283" t="s">
        <v>101</v>
      </c>
      <c r="BN10" s="312" t="s">
        <v>443</v>
      </c>
      <c r="BO10" s="308" t="s">
        <v>443</v>
      </c>
      <c r="BP10" s="308" t="s">
        <v>443</v>
      </c>
      <c r="BQ10" s="312" t="s">
        <v>443</v>
      </c>
      <c r="BR10" s="308" t="s">
        <v>443</v>
      </c>
      <c r="BS10" s="308" t="s">
        <v>443</v>
      </c>
      <c r="BT10" s="312" t="s">
        <v>443</v>
      </c>
      <c r="BU10" s="311"/>
      <c r="BV10" s="313" t="s">
        <v>441</v>
      </c>
      <c r="BW10" s="314"/>
      <c r="BX10" s="315"/>
      <c r="BY10" s="316"/>
      <c r="BZ10" s="314" t="s">
        <v>114</v>
      </c>
      <c r="CA10" s="314" t="s">
        <v>114</v>
      </c>
      <c r="CB10" s="317"/>
      <c r="CC10" s="318" t="s">
        <v>114</v>
      </c>
      <c r="CD10" s="319" t="s">
        <v>114</v>
      </c>
      <c r="CE10" s="320"/>
      <c r="CF10" s="321" t="s">
        <v>422</v>
      </c>
      <c r="CG10" s="322" t="s">
        <v>20</v>
      </c>
      <c r="CH10" s="321" t="s">
        <v>22</v>
      </c>
    </row>
    <row r="11" spans="1:86" ht="16.5" thickBot="1" thickTop="1">
      <c r="A11" s="323">
        <f>$B$3/POWER(1+B11/(1000*$A$5),2)</f>
        <v>9.820676279432401</v>
      </c>
      <c r="B11">
        <f>C11*E$6</f>
        <v>-4572</v>
      </c>
      <c r="C11" s="324">
        <v>-15000</v>
      </c>
      <c r="D11" s="325">
        <f aca="true" t="shared" si="5" ref="D11:D63">$C$3*POWER(((1-$F$3)/$F$3)*($H$3*$A11/($E$3*$G$3))*$B11+1,($F$3/($F$3-1)))</f>
        <v>1678.1146436928307</v>
      </c>
      <c r="E11" s="326">
        <f aca="true" t="shared" si="6" ref="E11:E63">$C$3*POWER(((1-$F$3)/$F$3)*($H$3*$B$3/($E$3*$G$3))*$B11*0.933+1,($F$3/($F$3-1)))</f>
        <v>1624.8662538313686</v>
      </c>
      <c r="F11" s="327">
        <f>IF(B11&gt;B$62,$F$62,$E$3+$B11*($AA$6))</f>
        <v>317.3352396587469</v>
      </c>
      <c r="G11" s="328">
        <f>F11-273.15</f>
        <v>44.18523965874692</v>
      </c>
      <c r="H11" s="92">
        <f>G11*1.8+32</f>
        <v>111.53343138574446</v>
      </c>
      <c r="I11">
        <f>$H$3*E11*100/($G$3*F11)</f>
        <v>1.7837306804856765</v>
      </c>
      <c r="J11">
        <f>1000*I11/I$15</f>
        <v>1456.1339511850506</v>
      </c>
      <c r="K11" s="329">
        <f aca="true" t="shared" si="7" ref="K11:W30">K$10/SQRT($J11/1000)</f>
        <v>165.74076217961627</v>
      </c>
      <c r="L11" s="329">
        <f t="shared" si="7"/>
        <v>248.61114326942442</v>
      </c>
      <c r="M11" s="329">
        <f t="shared" si="7"/>
        <v>265.18521948738606</v>
      </c>
      <c r="N11" s="329">
        <f t="shared" si="7"/>
        <v>281.75929570534765</v>
      </c>
      <c r="O11" s="329">
        <f t="shared" si="7"/>
        <v>828.7038108980814</v>
      </c>
      <c r="P11" s="329">
        <f t="shared" si="7"/>
        <v>314.90744814127095</v>
      </c>
      <c r="Q11" s="329">
        <f t="shared" si="7"/>
        <v>331.48152435923254</v>
      </c>
      <c r="R11" s="329">
        <f t="shared" si="7"/>
        <v>348.0556005771942</v>
      </c>
      <c r="S11" s="329">
        <f t="shared" si="7"/>
        <v>364.62967679515583</v>
      </c>
      <c r="T11" s="329">
        <f t="shared" si="7"/>
        <v>381.2037530131174</v>
      </c>
      <c r="U11" s="329">
        <f t="shared" si="7"/>
        <v>397.77782923107907</v>
      </c>
      <c r="V11" s="329">
        <f t="shared" si="7"/>
        <v>414.3519054490407</v>
      </c>
      <c r="W11" s="329">
        <f>W$10/SQRT($J11/1000)</f>
        <v>497.22228653884883</v>
      </c>
      <c r="X11" s="330">
        <f>Y11/25.4</f>
        <v>47.98241277175986</v>
      </c>
      <c r="Y11" s="331">
        <f>E11/G$6</f>
        <v>1218.7532844027005</v>
      </c>
      <c r="Z11" s="286">
        <f aca="true" t="shared" si="8" ref="Z11:Z39">$C$3*POWER(1-0.00003173*$C11*E$6,$F$3/($F$3-1))</f>
        <v>1625.1610938525223</v>
      </c>
      <c r="AA11" s="332">
        <f>$AA$2*POWER(((1-$F$3)/$F$3)*($H$3*$A11/(($E$3+$Y$2)*$G$3))*$B11*0.933+1,($F$3/($F$3-1)))</f>
        <v>1639.6027421859874</v>
      </c>
      <c r="AB11" s="333">
        <f>$Y$2+F11</f>
        <v>292.3352396587469</v>
      </c>
      <c r="AC11" s="334">
        <f>AB11-273.15</f>
        <v>19.185239658746923</v>
      </c>
      <c r="AD11" s="335">
        <f aca="true" t="shared" si="9" ref="AD11:AD63">($G$3*F11)/($H$3*$A11*E11*$E$6)</f>
        <v>18.72899007264546</v>
      </c>
      <c r="AE11" s="336">
        <f aca="true" t="shared" si="10" ref="AE11:AM32">AE$10*$AP11</f>
        <v>208.4015517313438</v>
      </c>
      <c r="AF11" s="336">
        <f t="shared" si="10"/>
        <v>277.8687356417917</v>
      </c>
      <c r="AG11" s="336">
        <f t="shared" si="10"/>
        <v>347.33591955223966</v>
      </c>
      <c r="AH11" s="336">
        <f t="shared" si="10"/>
        <v>416.8031034626876</v>
      </c>
      <c r="AI11" s="336">
        <f t="shared" si="10"/>
        <v>486.2702873731355</v>
      </c>
      <c r="AJ11" s="336">
        <f t="shared" si="10"/>
        <v>555.7374712835834</v>
      </c>
      <c r="AK11" s="336">
        <f t="shared" si="10"/>
        <v>625.2046551940314</v>
      </c>
      <c r="AL11" s="336">
        <f t="shared" si="10"/>
        <v>694.6718391044793</v>
      </c>
      <c r="AM11" s="336">
        <f>AM$10*$AP11</f>
        <v>833.6062069253752</v>
      </c>
      <c r="AN11">
        <f>($AN$5)*POWER(F11,0.5)</f>
        <v>357.37006833930434</v>
      </c>
      <c r="AO11">
        <f>AN11*3.6</f>
        <v>1286.5322460214957</v>
      </c>
      <c r="AP11">
        <f>AO11*1000/$C$6</f>
        <v>694.6718391044793</v>
      </c>
      <c r="AQ11" s="176">
        <f>AR11*60</f>
        <v>70348.43864946935</v>
      </c>
      <c r="AR11">
        <f>AN11/$E$6</f>
        <v>1172.473977491156</v>
      </c>
      <c r="AS11" s="337">
        <f>$E$3-1.94*C11/1000</f>
        <v>317.25</v>
      </c>
      <c r="AT11" s="337">
        <f>AS11-273.15</f>
        <v>44.10000000000002</v>
      </c>
      <c r="AU11" s="280"/>
      <c r="AV11" s="281">
        <f>$AG$5</f>
        <v>36000</v>
      </c>
      <c r="AW11" s="280"/>
      <c r="AX11" s="64">
        <f t="shared" si="4"/>
        <v>-15000</v>
      </c>
      <c r="AZ11" s="280">
        <f>B11/1000</f>
        <v>-4.572</v>
      </c>
      <c r="BA11" s="280">
        <f>IF(AZ11&lt;11,$E$3-6.5*AZ11,$E$3-6.5*11)</f>
        <v>317.868</v>
      </c>
      <c r="BB11" s="280">
        <f>AX11/$AX$40</f>
        <v>-0.41562759767248547</v>
      </c>
      <c r="BC11">
        <f>BA11/$BA$15</f>
        <v>1.1031337844872462</v>
      </c>
      <c r="BD11">
        <f aca="true" t="shared" si="11" ref="BD11:BD40">IF(AX11&lt;36091,$C$3*POWER(1-0.02256*AZ11,5.26),226.32*EXP((-0.1577)*(AZ11-11)))</f>
        <v>1698.0977438337025</v>
      </c>
      <c r="BE11">
        <f aca="true" t="shared" si="12" ref="BE11:BE45">BD11/$BD$15</f>
        <v>1.6758921725474487</v>
      </c>
      <c r="BF11">
        <f>AN11</f>
        <v>357.37006833930434</v>
      </c>
      <c r="BG11">
        <f>BF11/BF$15</f>
        <v>1.0494212143651511</v>
      </c>
      <c r="BH11">
        <f>I11</f>
        <v>1.7837306804856765</v>
      </c>
      <c r="BI11">
        <f>BH11/BH$15</f>
        <v>1.4561339511850506</v>
      </c>
      <c r="BJ11">
        <f>SQRT(BI11)</f>
        <v>1.2067037545251322</v>
      </c>
      <c r="BM11" s="64">
        <f>AZ11</f>
        <v>-4.572</v>
      </c>
      <c r="BN11">
        <f aca="true" t="shared" si="13" ref="BN11:BT26">IF($BM11&gt;BN$8,IF($BM11&gt;BN$5,BN$4,BN$4+BN$6*(BN$5-$BM11)),IF($BM11&gt;BN$1,BN$4+BN$6*(BN$5-BN$8),BN$4+BN$6*(BN$5-BN$8)+BN$2*($BM11-BN$1)))</f>
        <v>-95.72</v>
      </c>
      <c r="BO11">
        <f t="shared" si="13"/>
        <v>-70.58</v>
      </c>
      <c r="BP11" s="44">
        <f t="shared" si="13"/>
        <v>-28.680000000000007</v>
      </c>
      <c r="BQ11" s="44">
        <f t="shared" si="13"/>
        <v>9.03</v>
      </c>
      <c r="BR11" s="44">
        <f t="shared" si="13"/>
        <v>18.414528301886783</v>
      </c>
      <c r="BS11" s="44">
        <f t="shared" si="13"/>
        <v>25.633396226415087</v>
      </c>
      <c r="BT11" s="44">
        <f t="shared" si="13"/>
        <v>47.28999999999999</v>
      </c>
      <c r="BV11" s="338">
        <f>BG11*$I$3</f>
        <v>1.2860656982044927</v>
      </c>
      <c r="BW11" s="92">
        <f>BX11/3.6*1.852</f>
        <v>42.63220716064574</v>
      </c>
      <c r="BX11" s="339">
        <f>CC$4/BJ11</f>
        <v>82.87038108980813</v>
      </c>
      <c r="BY11" s="92">
        <f>K11</f>
        <v>165.74076217961627</v>
      </c>
      <c r="BZ11" s="92">
        <f>CA11+BD11</f>
        <v>1709.7848985797132</v>
      </c>
      <c r="CA11" s="92">
        <f>$BW11*$BW11*$BV11/200</f>
        <v>11.687154746010703</v>
      </c>
      <c r="CB11" s="340">
        <f>BX11/AP11</f>
        <v>0.11929428605690802</v>
      </c>
      <c r="CC11">
        <f>$CE$7</f>
        <v>1013</v>
      </c>
      <c r="CD11" s="92">
        <f>CC11-BD11</f>
        <v>-685.0977438337025</v>
      </c>
      <c r="CE11" s="340" t="e">
        <f aca="true" t="shared" si="14" ref="CE11:CE16">CF11/$AN11</f>
        <v>#NUM!</v>
      </c>
      <c r="CF11" s="92" t="e">
        <f>SQRT(CD11*200/$I$3)</f>
        <v>#NUM!</v>
      </c>
      <c r="CG11" s="263" t="e">
        <f>CF11*3.6/1.852</f>
        <v>#NUM!</v>
      </c>
      <c r="CH11" s="92" t="e">
        <f>CG11*1.852</f>
        <v>#NUM!</v>
      </c>
    </row>
    <row r="12" spans="1:86" ht="16.5" thickBot="1" thickTop="1">
      <c r="A12" s="323">
        <f>$B$3/POWER(1+B12/(1000*$A$5),2)</f>
        <v>9.811322085806909</v>
      </c>
      <c r="B12">
        <f>C12*E$6</f>
        <v>-1524</v>
      </c>
      <c r="C12" s="341">
        <v>-5000</v>
      </c>
      <c r="D12" s="325">
        <f t="shared" si="5"/>
        <v>1208.5278073508887</v>
      </c>
      <c r="E12" s="326">
        <f t="shared" si="6"/>
        <v>1194.5775224575473</v>
      </c>
      <c r="F12" s="327">
        <f>IF(B12&gt;B$62,$F$62,$E$3+$B12*($AA$6))</f>
        <v>297.8784132195823</v>
      </c>
      <c r="G12" s="328">
        <f>F12-273.15</f>
        <v>24.728413219582308</v>
      </c>
      <c r="H12" s="92">
        <f>G12*1.8+32</f>
        <v>76.51114379524816</v>
      </c>
      <c r="I12">
        <f>$H$3*E12*100/($G$3*F12)</f>
        <v>1.3970285218230853</v>
      </c>
      <c r="J12">
        <f>1000*I12/I$15</f>
        <v>1140.4528069487312</v>
      </c>
      <c r="K12" s="329">
        <f t="shared" si="7"/>
        <v>187.27997229278714</v>
      </c>
      <c r="L12" s="329">
        <f t="shared" si="7"/>
        <v>280.91995843918073</v>
      </c>
      <c r="M12" s="329">
        <f t="shared" si="7"/>
        <v>299.6479556684594</v>
      </c>
      <c r="N12" s="329">
        <f t="shared" si="7"/>
        <v>318.37595289773816</v>
      </c>
      <c r="O12" s="329">
        <f t="shared" si="7"/>
        <v>936.3998614639357</v>
      </c>
      <c r="P12" s="329">
        <f t="shared" si="7"/>
        <v>355.8319473562956</v>
      </c>
      <c r="Q12" s="329">
        <f t="shared" si="7"/>
        <v>374.55994458557427</v>
      </c>
      <c r="R12" s="329">
        <f t="shared" si="7"/>
        <v>393.287941814853</v>
      </c>
      <c r="S12" s="329">
        <f t="shared" si="7"/>
        <v>412.0159390441317</v>
      </c>
      <c r="T12" s="329">
        <f t="shared" si="7"/>
        <v>430.74393627341044</v>
      </c>
      <c r="U12" s="329">
        <f t="shared" si="7"/>
        <v>449.4719335026891</v>
      </c>
      <c r="V12" s="329">
        <f t="shared" si="7"/>
        <v>468.19993073196787</v>
      </c>
      <c r="W12" s="329">
        <f t="shared" si="7"/>
        <v>561.8399168783615</v>
      </c>
      <c r="X12" s="330">
        <f>Y12/25.4</f>
        <v>35.27595679660962</v>
      </c>
      <c r="Y12" s="331">
        <f>E12/G$6</f>
        <v>896.0093026338843</v>
      </c>
      <c r="Z12" s="286">
        <f>$C$3*POWER(1-0.00003173*$C12*E$6,$F$3/($F$3-1))</f>
        <v>1194.6564361797537</v>
      </c>
      <c r="AA12" s="332">
        <f>$AA$2*POWER(((1-$F$3)/$F$3)*($H$3*$A12/(($E$3+$Y$2)*$G$3))*$B12*0.933+1,($F$3/($F$3-1)))</f>
        <v>1173.2221347174616</v>
      </c>
      <c r="AB12" s="333">
        <f>$Y$2+F12</f>
        <v>272.8784132195823</v>
      </c>
      <c r="AC12" s="334">
        <f aca="true" t="shared" si="15" ref="AC12:AC63">AB12-273.15</f>
        <v>-0.27158678041769235</v>
      </c>
      <c r="AD12" s="335">
        <f>($G$3*F12)/($H$3*$A12*E12*$E$6)</f>
        <v>23.93603612248538</v>
      </c>
      <c r="AE12" s="336">
        <f t="shared" si="10"/>
        <v>201.91161982113528</v>
      </c>
      <c r="AF12" s="336">
        <f t="shared" si="10"/>
        <v>269.21549309484703</v>
      </c>
      <c r="AG12" s="336">
        <f t="shared" si="10"/>
        <v>336.5193663685588</v>
      </c>
      <c r="AH12" s="336">
        <f t="shared" si="10"/>
        <v>403.82323964227055</v>
      </c>
      <c r="AI12" s="336">
        <f t="shared" si="10"/>
        <v>471.12711291598225</v>
      </c>
      <c r="AJ12" s="336">
        <f t="shared" si="10"/>
        <v>538.4309861896941</v>
      </c>
      <c r="AK12" s="336">
        <f t="shared" si="10"/>
        <v>605.7348594634059</v>
      </c>
      <c r="AL12" s="336">
        <f t="shared" si="10"/>
        <v>673.0387327371176</v>
      </c>
      <c r="AM12" s="336">
        <f t="shared" si="10"/>
        <v>807.6464792845411</v>
      </c>
      <c r="AN12">
        <f>($AN$5)*POWER(F12,0.5)</f>
        <v>346.2410369525394</v>
      </c>
      <c r="AO12">
        <f aca="true" t="shared" si="16" ref="AO12:AO63">AN12*3.6</f>
        <v>1246.4677330291418</v>
      </c>
      <c r="AP12">
        <f aca="true" t="shared" si="17" ref="AP12:AP63">AO12*1000/$C$6</f>
        <v>673.0387327371176</v>
      </c>
      <c r="AQ12" s="176">
        <f>AR12*60</f>
        <v>68157.68443947624</v>
      </c>
      <c r="AR12">
        <f>AN12/$E$6</f>
        <v>1135.9614073246041</v>
      </c>
      <c r="AS12" s="337">
        <f>$E$3-1.94*C12/1000</f>
        <v>297.84999999999997</v>
      </c>
      <c r="AT12" s="337">
        <f aca="true" t="shared" si="18" ref="AT12:AT63">AS12-273.15</f>
        <v>24.69999999999999</v>
      </c>
      <c r="AU12" s="280"/>
      <c r="AV12" s="281">
        <f>$AG$5</f>
        <v>36000</v>
      </c>
      <c r="AW12" s="280"/>
      <c r="AX12" s="64">
        <f>C12</f>
        <v>-5000</v>
      </c>
      <c r="AZ12" s="280">
        <f>B12/1000</f>
        <v>-1.524</v>
      </c>
      <c r="BA12" s="280">
        <f>IF(AZ12&lt;11,$E$3-6.5*AZ12,$E$3-6.5*11)</f>
        <v>298.056</v>
      </c>
      <c r="BB12" s="280">
        <f>AX12/$AX$40</f>
        <v>-0.13854253255749516</v>
      </c>
      <c r="BC12">
        <f>BA12/$BA$15</f>
        <v>1.0343779281624155</v>
      </c>
      <c r="BD12">
        <f>IF(AX12&lt;36091,$C$3*POWER(1-0.02256*AZ12,5.26),226.32*EXP((-0.1577)*(AZ12-11)))</f>
        <v>1210.4230803754876</v>
      </c>
      <c r="BE12">
        <f t="shared" si="12"/>
        <v>1.1945947005926352</v>
      </c>
      <c r="BF12">
        <f>AN12</f>
        <v>346.2410369525394</v>
      </c>
      <c r="BG12">
        <f>BF12/BF$15</f>
        <v>1.016740688861493</v>
      </c>
      <c r="BH12">
        <f>I12</f>
        <v>1.3970285218230853</v>
      </c>
      <c r="BI12">
        <f aca="true" t="shared" si="19" ref="BI12:BI45">BH12/BH$15</f>
        <v>1.1404528069487312</v>
      </c>
      <c r="BJ12">
        <f>SQRT(BI12)</f>
        <v>1.0679198504329486</v>
      </c>
      <c r="BM12" s="64">
        <f>AZ12</f>
        <v>-1.524</v>
      </c>
      <c r="BN12">
        <f t="shared" si="13"/>
        <v>-65.24000000000001</v>
      </c>
      <c r="BO12">
        <f t="shared" si="13"/>
        <v>-40.099999999999994</v>
      </c>
      <c r="BP12" s="44">
        <f t="shared" si="13"/>
        <v>1.7999999999999936</v>
      </c>
      <c r="BQ12" s="44">
        <f t="shared" si="13"/>
        <v>24.75</v>
      </c>
      <c r="BR12" s="44">
        <f t="shared" si="13"/>
        <v>32.266943396226424</v>
      </c>
      <c r="BS12" s="44">
        <f t="shared" si="13"/>
        <v>37.929207547169796</v>
      </c>
      <c r="BT12" s="44">
        <f t="shared" si="13"/>
        <v>54.916</v>
      </c>
      <c r="BV12" s="338">
        <f>BG12*$I$3</f>
        <v>1.2460157141997596</v>
      </c>
      <c r="BW12" s="92">
        <f aca="true" t="shared" si="20" ref="BW12:BW45">BX12/3.6*1.852</f>
        <v>48.172570650866916</v>
      </c>
      <c r="BX12" s="339">
        <f aca="true" t="shared" si="21" ref="BX12:BX45">CC$4/BJ12</f>
        <v>93.63998614639357</v>
      </c>
      <c r="BY12" s="92">
        <f aca="true" t="shared" si="22" ref="BY12:BY45">K12</f>
        <v>187.27997229278714</v>
      </c>
      <c r="BZ12" s="92">
        <f aca="true" t="shared" si="23" ref="BZ12:BZ45">CA12+BD12</f>
        <v>1224.8805792952699</v>
      </c>
      <c r="CA12" s="92">
        <f aca="true" t="shared" si="24" ref="CA12:CA45">$BW12*$BW12*$BV12/200</f>
        <v>14.457498919782294</v>
      </c>
      <c r="CB12" s="340">
        <f aca="true" t="shared" si="25" ref="CB12:CB45">BX12/AP12</f>
        <v>0.1391301593677647</v>
      </c>
      <c r="CC12">
        <f aca="true" t="shared" si="26" ref="CC12:CC45">$CE$7</f>
        <v>1013</v>
      </c>
      <c r="CD12" s="92">
        <f>CC12-BD12</f>
        <v>-197.42308037548764</v>
      </c>
      <c r="CE12" s="340" t="e">
        <f t="shared" si="14"/>
        <v>#NUM!</v>
      </c>
      <c r="CF12" s="92" t="e">
        <f aca="true" t="shared" si="27" ref="CF12:CF45">SQRT(CD12*200/$I$3)</f>
        <v>#NUM!</v>
      </c>
      <c r="CG12" s="263" t="e">
        <f aca="true" t="shared" si="28" ref="CG12:CG45">CF12*3.6/1.852</f>
        <v>#NUM!</v>
      </c>
      <c r="CH12" s="92" t="e">
        <f aca="true" t="shared" si="29" ref="CH12:CH45">CG12*1.852</f>
        <v>#NUM!</v>
      </c>
    </row>
    <row r="13" spans="1:86" ht="16.5" thickBot="1" thickTop="1">
      <c r="A13" s="323">
        <f>$B$3/POWER(1+B13/(1000*$A$5),2)</f>
        <v>9.808518433773237</v>
      </c>
      <c r="B13">
        <f>C13*E$6</f>
        <v>-609.6</v>
      </c>
      <c r="C13" s="341">
        <v>-2000</v>
      </c>
      <c r="D13" s="325">
        <f t="shared" si="5"/>
        <v>1088.4024195318166</v>
      </c>
      <c r="E13" s="326">
        <f t="shared" si="6"/>
        <v>1083.2331650504873</v>
      </c>
      <c r="F13" s="327">
        <f>IF(B13&gt;B$62,$F$62,$E$3+$B13*($AA$6))</f>
        <v>292.0413652878329</v>
      </c>
      <c r="G13" s="328">
        <f>F13-273.15</f>
        <v>18.89136528783291</v>
      </c>
      <c r="H13" s="92">
        <f>G13*1.8+32</f>
        <v>66.00445751809924</v>
      </c>
      <c r="I13">
        <f>$H$3*E13*100/($G$3*F13)</f>
        <v>1.2921339693989218</v>
      </c>
      <c r="J13">
        <f>1000*I13/I$15</f>
        <v>1054.8229970507502</v>
      </c>
      <c r="K13" s="329">
        <f t="shared" si="7"/>
        <v>194.73328980850826</v>
      </c>
      <c r="L13" s="329">
        <f t="shared" si="7"/>
        <v>292.0999347127624</v>
      </c>
      <c r="M13" s="329">
        <f t="shared" si="7"/>
        <v>311.57326369361317</v>
      </c>
      <c r="N13" s="329">
        <f t="shared" si="7"/>
        <v>331.046592674464</v>
      </c>
      <c r="O13" s="329">
        <f t="shared" si="7"/>
        <v>973.6664490425412</v>
      </c>
      <c r="P13" s="329">
        <f t="shared" si="7"/>
        <v>369.99325063616567</v>
      </c>
      <c r="Q13" s="329">
        <f t="shared" si="7"/>
        <v>389.4665796170165</v>
      </c>
      <c r="R13" s="329">
        <f t="shared" si="7"/>
        <v>408.9399085978673</v>
      </c>
      <c r="S13" s="329">
        <f t="shared" si="7"/>
        <v>428.41323757871817</v>
      </c>
      <c r="T13" s="329">
        <f t="shared" si="7"/>
        <v>447.88656655956896</v>
      </c>
      <c r="U13" s="329">
        <f t="shared" si="7"/>
        <v>467.3598955404198</v>
      </c>
      <c r="V13" s="329">
        <f t="shared" si="7"/>
        <v>486.8332245212706</v>
      </c>
      <c r="W13" s="329">
        <f t="shared" si="7"/>
        <v>584.1998694255248</v>
      </c>
      <c r="X13" s="330">
        <f>Y13/25.4</f>
        <v>31.987950227260082</v>
      </c>
      <c r="Y13" s="331">
        <f>E13/G$6</f>
        <v>812.4939357724061</v>
      </c>
      <c r="Z13" s="286">
        <f>$C$3*POWER(1-0.00003173*$C13*E$6,$F$3/($F$3-1))</f>
        <v>1083.2626023582193</v>
      </c>
      <c r="AA13" s="332">
        <f>$AA$2*POWER(((1-$F$3)/$F$3)*($H$3*$A13/(($E$3+$Y$2)*$G$3))*$B13*0.933+1,($F$3/($F$3-1)))</f>
        <v>1054.300252368952</v>
      </c>
      <c r="AB13" s="333">
        <f>$Y$2+F13</f>
        <v>267.0413652878329</v>
      </c>
      <c r="AC13" s="334">
        <f t="shared" si="15"/>
        <v>-6.108634712167088</v>
      </c>
      <c r="AD13" s="335">
        <f>($G$3*F13)/($H$3*$A13*E13*$E$6)</f>
        <v>25.886544430103086</v>
      </c>
      <c r="AE13" s="336">
        <f t="shared" si="10"/>
        <v>199.92356253134216</v>
      </c>
      <c r="AF13" s="336">
        <f t="shared" si="10"/>
        <v>266.5647500417896</v>
      </c>
      <c r="AG13" s="336">
        <f t="shared" si="10"/>
        <v>333.20593755223695</v>
      </c>
      <c r="AH13" s="336">
        <f t="shared" si="10"/>
        <v>399.8471250626843</v>
      </c>
      <c r="AI13" s="336">
        <f t="shared" si="10"/>
        <v>466.4883125731317</v>
      </c>
      <c r="AJ13" s="336">
        <f t="shared" si="10"/>
        <v>533.1295000835792</v>
      </c>
      <c r="AK13" s="336">
        <f t="shared" si="10"/>
        <v>599.7706875940265</v>
      </c>
      <c r="AL13" s="336">
        <f t="shared" si="10"/>
        <v>666.4118751044739</v>
      </c>
      <c r="AM13" s="336">
        <f t="shared" si="10"/>
        <v>799.6942501253686</v>
      </c>
      <c r="AN13">
        <f>($AN$5)*POWER(F13,0.5)</f>
        <v>342.83188685930156</v>
      </c>
      <c r="AO13">
        <f t="shared" si="16"/>
        <v>1234.1947926934856</v>
      </c>
      <c r="AP13">
        <f t="shared" si="17"/>
        <v>666.4118751044739</v>
      </c>
      <c r="AQ13" s="176">
        <f>AR13*60</f>
        <v>67486.5919014373</v>
      </c>
      <c r="AR13">
        <f>AN13/$E$6</f>
        <v>1124.7765316906218</v>
      </c>
      <c r="AS13" s="337">
        <f>$E$3-1.94*C13/1000</f>
        <v>292.03</v>
      </c>
      <c r="AT13" s="337">
        <f t="shared" si="18"/>
        <v>18.879999999999995</v>
      </c>
      <c r="AU13" s="280"/>
      <c r="AV13" s="281">
        <f>$AG$5</f>
        <v>36000</v>
      </c>
      <c r="AW13" s="280"/>
      <c r="AX13" s="64">
        <f>C13</f>
        <v>-2000</v>
      </c>
      <c r="AZ13" s="280">
        <f>B13/1000</f>
        <v>-0.6096</v>
      </c>
      <c r="BA13" s="280">
        <f>IF(AZ13&lt;11,$E$3-6.5*AZ13,$E$3-6.5*11)</f>
        <v>292.1124</v>
      </c>
      <c r="BB13" s="280">
        <f>AX13/$AX$40</f>
        <v>-0.05541701302299806</v>
      </c>
      <c r="BC13">
        <f>BA13/$BA$15</f>
        <v>1.0137511712649663</v>
      </c>
      <c r="BD13">
        <f>IF(AX13&lt;36091,$C$3*POWER(1-0.02256*AZ13,5.26),226.32*EXP((-0.1577)*(AZ13-11)))</f>
        <v>1088.7264619326918</v>
      </c>
      <c r="BE13">
        <f t="shared" si="12"/>
        <v>1.074489476370779</v>
      </c>
      <c r="BF13">
        <f>AN13</f>
        <v>342.83188685930156</v>
      </c>
      <c r="BG13">
        <f>BF13/BF$15</f>
        <v>1.0067296813716269</v>
      </c>
      <c r="BH13">
        <f>I13</f>
        <v>1.2921339693989218</v>
      </c>
      <c r="BI13">
        <f t="shared" si="19"/>
        <v>1.05482299705075</v>
      </c>
      <c r="BJ13">
        <f>SQRT(BI13)</f>
        <v>1.027045761906815</v>
      </c>
      <c r="BM13" s="64">
        <f>AZ13</f>
        <v>-0.6096</v>
      </c>
      <c r="BN13">
        <f t="shared" si="13"/>
        <v>-56.096000000000004</v>
      </c>
      <c r="BO13">
        <f t="shared" si="13"/>
        <v>-30.955999999999996</v>
      </c>
      <c r="BP13" s="44">
        <f t="shared" si="13"/>
        <v>3.239999999999995</v>
      </c>
      <c r="BQ13" s="44">
        <f t="shared" si="13"/>
        <v>18.962400000000002</v>
      </c>
      <c r="BR13" s="44">
        <f t="shared" si="13"/>
        <v>26.32334339622642</v>
      </c>
      <c r="BS13" s="44">
        <f t="shared" si="13"/>
        <v>31.985607547169806</v>
      </c>
      <c r="BT13" s="44">
        <f t="shared" si="13"/>
        <v>48.97239999999999</v>
      </c>
      <c r="BV13" s="338">
        <f>BG13*$I$3</f>
        <v>1.2337472245209289</v>
      </c>
      <c r="BW13" s="92">
        <f t="shared" si="20"/>
        <v>50.08972954518852</v>
      </c>
      <c r="BX13" s="339">
        <f t="shared" si="21"/>
        <v>97.36664490425414</v>
      </c>
      <c r="BY13" s="92">
        <f t="shared" si="22"/>
        <v>194.73328980850826</v>
      </c>
      <c r="BZ13" s="92">
        <f t="shared" si="23"/>
        <v>1104.2037036947786</v>
      </c>
      <c r="CA13" s="92">
        <f t="shared" si="24"/>
        <v>15.477241762086765</v>
      </c>
      <c r="CB13" s="340">
        <f t="shared" si="25"/>
        <v>0.14610580714665372</v>
      </c>
      <c r="CC13">
        <f t="shared" si="26"/>
        <v>1013</v>
      </c>
      <c r="CD13" s="92">
        <f>CC13-BD13</f>
        <v>-75.72646193269179</v>
      </c>
      <c r="CE13" s="340" t="e">
        <f t="shared" si="14"/>
        <v>#NUM!</v>
      </c>
      <c r="CF13" s="92" t="e">
        <f t="shared" si="27"/>
        <v>#NUM!</v>
      </c>
      <c r="CG13" s="263" t="e">
        <f t="shared" si="28"/>
        <v>#NUM!</v>
      </c>
      <c r="CH13" s="92" t="e">
        <f t="shared" si="29"/>
        <v>#NUM!</v>
      </c>
    </row>
    <row r="14" spans="1:86" ht="16.5" thickBot="1" thickTop="1">
      <c r="A14" s="323">
        <f>$B$3/POWER(1+B14/(1000*$A$5),2)</f>
        <v>9.807117058388926</v>
      </c>
      <c r="B14">
        <f>C14*E$6</f>
        <v>-152.4</v>
      </c>
      <c r="C14" s="341">
        <v>-500</v>
      </c>
      <c r="D14" s="325">
        <f t="shared" si="5"/>
        <v>1031.676848709002</v>
      </c>
      <c r="E14" s="326">
        <f t="shared" si="6"/>
        <v>1030.434014712977</v>
      </c>
      <c r="F14" s="327">
        <f>IF(B14&gt;B$62,$F$62,$E$3+$B14*($AA$6))</f>
        <v>289.1228413219582</v>
      </c>
      <c r="G14" s="328">
        <f>F14-273.15</f>
        <v>15.972841321958242</v>
      </c>
      <c r="H14" s="92">
        <f>G14*1.8+32</f>
        <v>60.751114379524836</v>
      </c>
      <c r="I14">
        <f>$H$3*E14*100/($G$3*F14)</f>
        <v>1.241560104993925</v>
      </c>
      <c r="J14">
        <f>1000*I14/I$15</f>
        <v>1013.5374365071071</v>
      </c>
      <c r="K14" s="329">
        <f t="shared" si="7"/>
        <v>198.65984777164212</v>
      </c>
      <c r="L14" s="329">
        <f t="shared" si="7"/>
        <v>297.98977165746317</v>
      </c>
      <c r="M14" s="329">
        <f t="shared" si="7"/>
        <v>317.8557564346274</v>
      </c>
      <c r="N14" s="329">
        <f t="shared" si="7"/>
        <v>337.7217412117916</v>
      </c>
      <c r="O14" s="329">
        <f t="shared" si="7"/>
        <v>993.2992388582106</v>
      </c>
      <c r="P14" s="329">
        <f t="shared" si="7"/>
        <v>377.45371076612</v>
      </c>
      <c r="Q14" s="329">
        <f t="shared" si="7"/>
        <v>397.31969554328424</v>
      </c>
      <c r="R14" s="329">
        <f t="shared" si="7"/>
        <v>417.18568032044845</v>
      </c>
      <c r="S14" s="329">
        <f t="shared" si="7"/>
        <v>437.05166509761267</v>
      </c>
      <c r="T14" s="329">
        <f t="shared" si="7"/>
        <v>456.9176498747769</v>
      </c>
      <c r="U14" s="329">
        <f t="shared" si="7"/>
        <v>476.7836346519411</v>
      </c>
      <c r="V14" s="329">
        <f t="shared" si="7"/>
        <v>496.6496194291053</v>
      </c>
      <c r="W14" s="329">
        <f t="shared" si="7"/>
        <v>595.9795433149263</v>
      </c>
      <c r="X14" s="330">
        <f>Y14/25.4</f>
        <v>30.428787668791717</v>
      </c>
      <c r="Y14" s="331">
        <f>E14/G$6</f>
        <v>772.8912067873096</v>
      </c>
      <c r="Z14" s="286">
        <f t="shared" si="8"/>
        <v>1030.4411163064808</v>
      </c>
      <c r="AA14" s="332">
        <f>$AA$2*POWER(((1-$F$3)/$F$3)*($H$3*$A14/(($E$3+$Y$2)*$G$3))*$B14*0.933+1,($F$3/($F$3-1)))</f>
        <v>998.2103336150292</v>
      </c>
      <c r="AB14" s="333">
        <f>$Y$2+F14</f>
        <v>264.1228413219582</v>
      </c>
      <c r="AC14" s="334">
        <f t="shared" si="15"/>
        <v>-9.027158678041758</v>
      </c>
      <c r="AD14" s="335">
        <f t="shared" si="9"/>
        <v>26.94485986552224</v>
      </c>
      <c r="AE14" s="336">
        <f t="shared" si="10"/>
        <v>198.9220831718738</v>
      </c>
      <c r="AF14" s="336">
        <f t="shared" si="10"/>
        <v>265.2294442291651</v>
      </c>
      <c r="AG14" s="336">
        <f t="shared" si="10"/>
        <v>331.53680528645634</v>
      </c>
      <c r="AH14" s="336">
        <f t="shared" si="10"/>
        <v>397.8441663437476</v>
      </c>
      <c r="AI14" s="336">
        <f t="shared" si="10"/>
        <v>464.15152740103883</v>
      </c>
      <c r="AJ14" s="336">
        <f t="shared" si="10"/>
        <v>530.4588884583302</v>
      </c>
      <c r="AK14" s="336">
        <f t="shared" si="10"/>
        <v>596.7662495156214</v>
      </c>
      <c r="AL14" s="336">
        <f t="shared" si="10"/>
        <v>663.0736105729127</v>
      </c>
      <c r="AM14" s="336">
        <f t="shared" si="10"/>
        <v>795.6883326874952</v>
      </c>
      <c r="AN14">
        <f aca="true" t="shared" si="30" ref="AN14:AN63">($AN$5)*POWER(F14,0.5)</f>
        <v>341.114535216954</v>
      </c>
      <c r="AO14">
        <f t="shared" si="16"/>
        <v>1228.0123267810343</v>
      </c>
      <c r="AP14">
        <f t="shared" si="17"/>
        <v>663.0736105729127</v>
      </c>
      <c r="AQ14" s="176">
        <f aca="true" t="shared" si="31" ref="AQ14:AQ63">AR14*60</f>
        <v>67148.5305545185</v>
      </c>
      <c r="AR14">
        <f aca="true" t="shared" si="32" ref="AR14:AR63">AN14/$E$6</f>
        <v>1119.1421759086415</v>
      </c>
      <c r="AS14" s="337">
        <f aca="true" t="shared" si="33" ref="AS14:AS63">$E$3-1.94*C14/1000</f>
        <v>289.12</v>
      </c>
      <c r="AT14" s="337">
        <f t="shared" si="18"/>
        <v>15.970000000000027</v>
      </c>
      <c r="AU14" s="280"/>
      <c r="AV14" s="281">
        <f>$AG$5</f>
        <v>36000</v>
      </c>
      <c r="AW14" s="280"/>
      <c r="AX14" s="64">
        <f t="shared" si="4"/>
        <v>-500</v>
      </c>
      <c r="AZ14" s="280">
        <f>B14/1000</f>
        <v>-0.1524</v>
      </c>
      <c r="BA14" s="280">
        <f>IF(AZ14&lt;11,$E$3-6.5*AZ14,$E$3-6.5*11)</f>
        <v>289.14059999999995</v>
      </c>
      <c r="BB14" s="280">
        <f aca="true" t="shared" si="34" ref="BB14:BB40">AX14/$AX$40</f>
        <v>-0.013854253255749516</v>
      </c>
      <c r="BC14">
        <f aca="true" t="shared" si="35" ref="BC14:BC45">BA14/$BA$15</f>
        <v>1.0034377928162415</v>
      </c>
      <c r="BD14">
        <f t="shared" si="11"/>
        <v>1031.7089542905628</v>
      </c>
      <c r="BE14">
        <f t="shared" si="12"/>
        <v>1.018217571468604</v>
      </c>
      <c r="BF14">
        <f aca="true" t="shared" si="36" ref="BF14:BF45">AN14</f>
        <v>341.114535216954</v>
      </c>
      <c r="BG14">
        <f>BF14/BF$15</f>
        <v>1.001686659010019</v>
      </c>
      <c r="BH14">
        <f aca="true" t="shared" si="37" ref="BH14:BH45">I14</f>
        <v>1.241560104993925</v>
      </c>
      <c r="BI14">
        <f t="shared" si="19"/>
        <v>1.0135374365071073</v>
      </c>
      <c r="BJ14">
        <f>SQRT(BI14)</f>
        <v>1.0067459642368115</v>
      </c>
      <c r="BM14" s="64">
        <f aca="true" t="shared" si="38" ref="BM14:BM45">AZ14</f>
        <v>-0.1524</v>
      </c>
      <c r="BN14">
        <f t="shared" si="13"/>
        <v>-51.524</v>
      </c>
      <c r="BO14">
        <f t="shared" si="13"/>
        <v>-26.383999999999997</v>
      </c>
      <c r="BP14" s="44">
        <f t="shared" si="13"/>
        <v>3.239999999999995</v>
      </c>
      <c r="BQ14" s="44">
        <f t="shared" si="13"/>
        <v>15.9906</v>
      </c>
      <c r="BR14" s="44">
        <f t="shared" si="13"/>
        <v>23.35154339622642</v>
      </c>
      <c r="BS14" s="44">
        <f t="shared" si="13"/>
        <v>29.013807547169804</v>
      </c>
      <c r="BT14" s="44">
        <f t="shared" si="13"/>
        <v>46.00059999999999</v>
      </c>
      <c r="BV14" s="338">
        <f>BG14*$I$3</f>
        <v>1.2275670006167785</v>
      </c>
      <c r="BW14" s="92">
        <f t="shared" si="20"/>
        <v>51.09972751015016</v>
      </c>
      <c r="BX14" s="339">
        <f t="shared" si="21"/>
        <v>99.32992388582105</v>
      </c>
      <c r="BY14" s="92">
        <f t="shared" si="22"/>
        <v>198.65984777164212</v>
      </c>
      <c r="BZ14" s="92">
        <f t="shared" si="23"/>
        <v>1047.7359595001524</v>
      </c>
      <c r="CA14" s="92">
        <f t="shared" si="24"/>
        <v>16.02700520958957</v>
      </c>
      <c r="CB14" s="340">
        <f t="shared" si="25"/>
        <v>0.14980225770106795</v>
      </c>
      <c r="CC14">
        <f t="shared" si="26"/>
        <v>1013</v>
      </c>
      <c r="CD14" s="92">
        <f>CC14-BD14</f>
        <v>-18.708954290562815</v>
      </c>
      <c r="CE14" s="340" t="e">
        <f t="shared" si="14"/>
        <v>#NUM!</v>
      </c>
      <c r="CF14" s="92" t="e">
        <f t="shared" si="27"/>
        <v>#NUM!</v>
      </c>
      <c r="CG14" s="263" t="e">
        <f t="shared" si="28"/>
        <v>#NUM!</v>
      </c>
      <c r="CH14" s="92" t="e">
        <f t="shared" si="29"/>
        <v>#NUM!</v>
      </c>
    </row>
    <row r="15" spans="1:86" s="348" customFormat="1" ht="14.25" thickBot="1" thickTop="1">
      <c r="A15" s="342">
        <f>$B$3/POWER(1+B15/(1000*$A$5),2)</f>
        <v>9.80665</v>
      </c>
      <c r="B15" s="343">
        <f aca="true" t="shared" si="39" ref="B15:B45">C15*E$6</f>
        <v>0</v>
      </c>
      <c r="C15" s="343">
        <v>0</v>
      </c>
      <c r="D15" s="344">
        <f t="shared" si="5"/>
        <v>1013.25</v>
      </c>
      <c r="E15" s="345">
        <f t="shared" si="6"/>
        <v>1013.25</v>
      </c>
      <c r="F15" s="346">
        <f>IF(B15&gt;B$62,$F$62,$E$3+$B15*($AA$6))</f>
        <v>288.15</v>
      </c>
      <c r="G15" s="345">
        <f aca="true" t="shared" si="40" ref="G15:G63">F15-273.15</f>
        <v>15</v>
      </c>
      <c r="H15" s="347">
        <f aca="true" t="shared" si="41" ref="H15:H63">G15*1.8+32</f>
        <v>59</v>
      </c>
      <c r="I15" s="348">
        <f aca="true" t="shared" si="42" ref="I15:I63">$H$3*E15*100/($G$3*F15)</f>
        <v>1.2249770558773228</v>
      </c>
      <c r="J15" s="343">
        <f>1000*I15/I$15</f>
        <v>1000</v>
      </c>
      <c r="K15" s="347">
        <f t="shared" si="7"/>
        <v>200</v>
      </c>
      <c r="L15" s="347">
        <f t="shared" si="7"/>
        <v>300</v>
      </c>
      <c r="M15" s="347">
        <f t="shared" si="7"/>
        <v>320</v>
      </c>
      <c r="N15" s="347">
        <f t="shared" si="7"/>
        <v>340</v>
      </c>
      <c r="O15" s="347">
        <f t="shared" si="7"/>
        <v>1000</v>
      </c>
      <c r="P15" s="347">
        <f t="shared" si="7"/>
        <v>380</v>
      </c>
      <c r="Q15" s="347">
        <f t="shared" si="7"/>
        <v>400</v>
      </c>
      <c r="R15" s="347">
        <f t="shared" si="7"/>
        <v>420</v>
      </c>
      <c r="S15" s="347">
        <f t="shared" si="7"/>
        <v>440</v>
      </c>
      <c r="T15" s="347">
        <f t="shared" si="7"/>
        <v>460</v>
      </c>
      <c r="U15" s="347">
        <f t="shared" si="7"/>
        <v>480</v>
      </c>
      <c r="V15" s="347">
        <f t="shared" si="7"/>
        <v>500</v>
      </c>
      <c r="W15" s="347">
        <f t="shared" si="7"/>
        <v>600</v>
      </c>
      <c r="X15" s="349">
        <f>Y15/25.4</f>
        <v>29.921342526713193</v>
      </c>
      <c r="Y15" s="343">
        <f aca="true" t="shared" si="43" ref="Y15:Y63">E15/G$6</f>
        <v>760.0021001785151</v>
      </c>
      <c r="Z15" s="343">
        <f t="shared" si="8"/>
        <v>1013.25</v>
      </c>
      <c r="AA15" s="350">
        <f>$AA$2*POWER(((1-$F$3)/$F$3)*($H$3*$A15/(($E$3+$Y$2)*$G$3))*$B15*0.933+1,($F$3/($F$3-1)))</f>
        <v>980</v>
      </c>
      <c r="AB15" s="351">
        <f>$Y$2+F15</f>
        <v>263.15</v>
      </c>
      <c r="AC15" s="351">
        <f t="shared" si="15"/>
        <v>-10</v>
      </c>
      <c r="AD15" s="343">
        <f t="shared" si="9"/>
        <v>27.31092486245496</v>
      </c>
      <c r="AE15" s="348">
        <f t="shared" si="10"/>
        <v>198.587134392377</v>
      </c>
      <c r="AF15" s="348">
        <f t="shared" si="10"/>
        <v>264.78284585650266</v>
      </c>
      <c r="AG15" s="348">
        <f t="shared" si="10"/>
        <v>330.97855732062834</v>
      </c>
      <c r="AH15" s="348">
        <f t="shared" si="10"/>
        <v>397.174268784754</v>
      </c>
      <c r="AI15" s="348">
        <f t="shared" si="10"/>
        <v>463.36998024887964</v>
      </c>
      <c r="AJ15" s="348">
        <f t="shared" si="10"/>
        <v>529.5656917130053</v>
      </c>
      <c r="AK15" s="348">
        <f t="shared" si="10"/>
        <v>595.761403177131</v>
      </c>
      <c r="AL15" s="348">
        <f t="shared" si="10"/>
        <v>661.9571146412567</v>
      </c>
      <c r="AM15" s="348">
        <f t="shared" si="10"/>
        <v>794.348537569508</v>
      </c>
      <c r="AN15" s="343">
        <f t="shared" si="30"/>
        <v>340.54016008766877</v>
      </c>
      <c r="AO15" s="343">
        <f t="shared" si="16"/>
        <v>1225.9445763156075</v>
      </c>
      <c r="AP15" s="343">
        <f t="shared" si="17"/>
        <v>661.9571146412567</v>
      </c>
      <c r="AQ15" s="345">
        <f t="shared" si="31"/>
        <v>67035.46458418676</v>
      </c>
      <c r="AR15" s="352">
        <f t="shared" si="32"/>
        <v>1117.2577430697793</v>
      </c>
      <c r="AS15" s="353">
        <f t="shared" si="33"/>
        <v>288.15</v>
      </c>
      <c r="AT15" s="353">
        <f t="shared" si="18"/>
        <v>15</v>
      </c>
      <c r="AU15" s="354"/>
      <c r="AV15" s="355">
        <f>AG5</f>
        <v>36000</v>
      </c>
      <c r="AW15" s="354">
        <f>AX15/100</f>
        <v>0</v>
      </c>
      <c r="AX15" s="348">
        <f t="shared" si="4"/>
        <v>0</v>
      </c>
      <c r="AY15" s="356"/>
      <c r="AZ15" s="354">
        <f>B15/1000</f>
        <v>0</v>
      </c>
      <c r="BA15" s="354">
        <f aca="true" t="shared" si="44" ref="BA15:BA45">IF(AZ15&lt;11,$E$3-6.5*AZ15,$E$3-6.5*11)</f>
        <v>288.15</v>
      </c>
      <c r="BB15" s="354">
        <f t="shared" si="34"/>
        <v>0</v>
      </c>
      <c r="BC15" s="348">
        <f t="shared" si="35"/>
        <v>1</v>
      </c>
      <c r="BD15" s="348">
        <f t="shared" si="11"/>
        <v>1013.25</v>
      </c>
      <c r="BE15" s="348">
        <f t="shared" si="12"/>
        <v>1</v>
      </c>
      <c r="BF15" s="348">
        <f t="shared" si="36"/>
        <v>340.54016008766877</v>
      </c>
      <c r="BG15" s="348">
        <f>BF15/BF$15</f>
        <v>1</v>
      </c>
      <c r="BH15" s="348">
        <f t="shared" si="37"/>
        <v>1.2249770558773228</v>
      </c>
      <c r="BI15" s="348">
        <f t="shared" si="19"/>
        <v>1</v>
      </c>
      <c r="BJ15" s="348">
        <f aca="true" t="shared" si="45" ref="BJ15:BJ45">SQRT(BI15)</f>
        <v>1</v>
      </c>
      <c r="BK15" s="356"/>
      <c r="BL15" s="357"/>
      <c r="BM15" s="348">
        <f t="shared" si="38"/>
        <v>0</v>
      </c>
      <c r="BN15" s="348">
        <f t="shared" si="13"/>
        <v>-50</v>
      </c>
      <c r="BO15" s="348">
        <f t="shared" si="13"/>
        <v>-24.859999999999996</v>
      </c>
      <c r="BP15" s="358">
        <f t="shared" si="13"/>
        <v>3.239999999999995</v>
      </c>
      <c r="BQ15" s="358">
        <f t="shared" si="13"/>
        <v>15</v>
      </c>
      <c r="BR15" s="358">
        <f t="shared" si="13"/>
        <v>22.360943396226418</v>
      </c>
      <c r="BS15" s="358">
        <f t="shared" si="13"/>
        <v>28.023207547169804</v>
      </c>
      <c r="BT15" s="358">
        <f t="shared" si="13"/>
        <v>45.00999999999999</v>
      </c>
      <c r="BU15" s="357"/>
      <c r="BV15" s="338">
        <f aca="true" t="shared" si="46" ref="BV15:BV45">BG15*$I$3</f>
        <v>1.2255</v>
      </c>
      <c r="BW15" s="92">
        <f t="shared" si="20"/>
        <v>51.44444444444445</v>
      </c>
      <c r="BX15" s="339">
        <f t="shared" si="21"/>
        <v>100</v>
      </c>
      <c r="BY15" s="92">
        <f t="shared" si="22"/>
        <v>200</v>
      </c>
      <c r="BZ15" s="92">
        <f t="shared" si="23"/>
        <v>1029.4666178703703</v>
      </c>
      <c r="CA15" s="92">
        <f t="shared" si="24"/>
        <v>16.216617870370374</v>
      </c>
      <c r="CB15" s="340">
        <f t="shared" si="25"/>
        <v>0.15106718817305007</v>
      </c>
      <c r="CC15">
        <f t="shared" si="26"/>
        <v>1013</v>
      </c>
      <c r="CD15" s="92">
        <f aca="true" t="shared" si="47" ref="CD15:CD45">CC15-BD15</f>
        <v>-0.25</v>
      </c>
      <c r="CE15" s="340" t="e">
        <f t="shared" si="14"/>
        <v>#NUM!</v>
      </c>
      <c r="CF15" s="92" t="e">
        <f t="shared" si="27"/>
        <v>#NUM!</v>
      </c>
      <c r="CG15" s="263" t="e">
        <f t="shared" si="28"/>
        <v>#NUM!</v>
      </c>
      <c r="CH15" s="92" t="e">
        <f t="shared" si="29"/>
        <v>#NUM!</v>
      </c>
    </row>
    <row r="16" spans="1:86" ht="16.5" thickTop="1">
      <c r="A16" s="323">
        <f aca="true" t="shared" si="48" ref="A16:A63">$B$3/POWER(1+B16/(1000*$A$5),2)</f>
        <v>9.806556592326032</v>
      </c>
      <c r="B16">
        <f t="shared" si="39"/>
        <v>30.48</v>
      </c>
      <c r="C16" s="11">
        <v>100</v>
      </c>
      <c r="D16" s="325">
        <f t="shared" si="5"/>
        <v>1009.5932127772513</v>
      </c>
      <c r="E16" s="326">
        <f t="shared" si="6"/>
        <v>1009.8378903810814</v>
      </c>
      <c r="F16" s="327">
        <f aca="true" t="shared" si="49" ref="F16:F22">IF(B16&gt;B$62,$F$62,$E$3+$B16*($AA$6))</f>
        <v>287.95543173560833</v>
      </c>
      <c r="G16" s="328">
        <f t="shared" si="40"/>
        <v>14.805431735608352</v>
      </c>
      <c r="H16" s="92">
        <f t="shared" si="41"/>
        <v>58.64977712409504</v>
      </c>
      <c r="I16">
        <f t="shared" si="42"/>
        <v>1.221676873448548</v>
      </c>
      <c r="J16">
        <f aca="true" t="shared" si="50" ref="J16:J63">1000*I16/I$15</f>
        <v>997.3059230677497</v>
      </c>
      <c r="K16" s="329">
        <f t="shared" si="7"/>
        <v>200.26995327201084</v>
      </c>
      <c r="L16" s="329">
        <f t="shared" si="7"/>
        <v>300.40492990801624</v>
      </c>
      <c r="M16" s="329">
        <f t="shared" si="7"/>
        <v>320.43192523521736</v>
      </c>
      <c r="N16" s="329">
        <f t="shared" si="7"/>
        <v>340.4589205624184</v>
      </c>
      <c r="O16" s="329">
        <f t="shared" si="7"/>
        <v>1001.3497663600542</v>
      </c>
      <c r="P16" s="329">
        <f t="shared" si="7"/>
        <v>380.5129112168206</v>
      </c>
      <c r="Q16" s="329">
        <f t="shared" si="7"/>
        <v>400.5399065440217</v>
      </c>
      <c r="R16" s="329">
        <f t="shared" si="7"/>
        <v>420.5669018712228</v>
      </c>
      <c r="S16" s="329">
        <f t="shared" si="7"/>
        <v>440.59389719842386</v>
      </c>
      <c r="T16" s="329">
        <f t="shared" si="7"/>
        <v>460.6208925256249</v>
      </c>
      <c r="U16" s="329">
        <f t="shared" si="7"/>
        <v>480.64788785282605</v>
      </c>
      <c r="V16" s="329">
        <f t="shared" si="7"/>
        <v>500.6748831800271</v>
      </c>
      <c r="W16" s="329">
        <f t="shared" si="7"/>
        <v>600.8098598160325</v>
      </c>
      <c r="X16" s="330">
        <f aca="true" t="shared" si="51" ref="X16:X39">Y16/25.4</f>
        <v>29.820582693852245</v>
      </c>
      <c r="Y16" s="331">
        <f t="shared" si="43"/>
        <v>757.442800423847</v>
      </c>
      <c r="Z16" s="286">
        <f t="shared" si="8"/>
        <v>1009.8364903740205</v>
      </c>
      <c r="AA16" s="332">
        <f aca="true" t="shared" si="52" ref="AA16:AA63">$AA$2*POWER(((1-$F$3)/$F$3)*($H$3*$A16/(($E$3+$Y$2)*$G$3))*$B16*0.933+1,($F$3/($F$3-1)))</f>
        <v>976.3867839245192</v>
      </c>
      <c r="AB16" s="333">
        <f aca="true" t="shared" si="53" ref="AB16:AB22">$Y$2+F16</f>
        <v>262.95543173560833</v>
      </c>
      <c r="AC16" s="334">
        <f t="shared" si="15"/>
        <v>-10.194568264391648</v>
      </c>
      <c r="AD16" s="335">
        <f t="shared" si="9"/>
        <v>27.38496219457267</v>
      </c>
      <c r="AE16" s="336">
        <f t="shared" si="10"/>
        <v>198.52007682026434</v>
      </c>
      <c r="AF16" s="336">
        <f t="shared" si="10"/>
        <v>264.69343576035243</v>
      </c>
      <c r="AG16" s="336">
        <f t="shared" si="10"/>
        <v>330.86679470044055</v>
      </c>
      <c r="AH16" s="336">
        <f t="shared" si="10"/>
        <v>397.0401536405287</v>
      </c>
      <c r="AI16" s="336">
        <f t="shared" si="10"/>
        <v>463.21351258061674</v>
      </c>
      <c r="AJ16" s="336">
        <f t="shared" si="10"/>
        <v>529.3868715207049</v>
      </c>
      <c r="AK16" s="336">
        <f t="shared" si="10"/>
        <v>595.560230460793</v>
      </c>
      <c r="AL16" s="336">
        <f t="shared" si="10"/>
        <v>661.7335894008811</v>
      </c>
      <c r="AM16" s="336">
        <f t="shared" si="10"/>
        <v>794.0803072810573</v>
      </c>
      <c r="AN16">
        <f t="shared" si="30"/>
        <v>340.4251687695644</v>
      </c>
      <c r="AO16">
        <f t="shared" si="16"/>
        <v>1225.5306075704318</v>
      </c>
      <c r="AP16">
        <f t="shared" si="17"/>
        <v>661.7335894008811</v>
      </c>
      <c r="AQ16" s="176">
        <f t="shared" si="31"/>
        <v>67012.82849794574</v>
      </c>
      <c r="AR16">
        <f t="shared" si="32"/>
        <v>1116.8804749657622</v>
      </c>
      <c r="AS16" s="337">
        <f t="shared" si="33"/>
        <v>287.95599999999996</v>
      </c>
      <c r="AT16" s="337">
        <f t="shared" si="18"/>
        <v>14.805999999999983</v>
      </c>
      <c r="AU16" s="280"/>
      <c r="AV16" s="281">
        <f aca="true" t="shared" si="54" ref="AV16:AV45">$AG$5</f>
        <v>36000</v>
      </c>
      <c r="AW16" s="359"/>
      <c r="AX16" s="64">
        <f t="shared" si="4"/>
        <v>100</v>
      </c>
      <c r="AZ16" s="280">
        <f aca="true" t="shared" si="55" ref="AZ16:AZ45">B16/1000</f>
        <v>0.03048</v>
      </c>
      <c r="BA16" s="280">
        <f t="shared" si="44"/>
        <v>287.95187999999996</v>
      </c>
      <c r="BB16" s="280">
        <f t="shared" si="34"/>
        <v>0.002770850651149903</v>
      </c>
      <c r="BC16">
        <f t="shared" si="35"/>
        <v>0.9993124414367517</v>
      </c>
      <c r="BD16">
        <f t="shared" si="11"/>
        <v>1009.5905119362062</v>
      </c>
      <c r="BE16">
        <f t="shared" si="12"/>
        <v>0.9963883660855724</v>
      </c>
      <c r="BF16">
        <f t="shared" si="36"/>
        <v>340.4251687695644</v>
      </c>
      <c r="BG16">
        <f aca="true" t="shared" si="56" ref="BG16:BG45">BF16/BF$15</f>
        <v>0.9996623267045074</v>
      </c>
      <c r="BH16">
        <f t="shared" si="37"/>
        <v>1.221676873448548</v>
      </c>
      <c r="BI16">
        <f t="shared" si="19"/>
        <v>0.9973059230677498</v>
      </c>
      <c r="BJ16">
        <f t="shared" si="45"/>
        <v>0.9986520530533894</v>
      </c>
      <c r="BM16" s="64">
        <f t="shared" si="38"/>
        <v>0.03048</v>
      </c>
      <c r="BN16">
        <f t="shared" si="13"/>
        <v>-49.6952</v>
      </c>
      <c r="BO16">
        <f t="shared" si="13"/>
        <v>-24.555199999999996</v>
      </c>
      <c r="BP16" s="44">
        <f t="shared" si="13"/>
        <v>3.239999999999995</v>
      </c>
      <c r="BQ16" s="44">
        <f t="shared" si="13"/>
        <v>14.801879999999997</v>
      </c>
      <c r="BR16" s="44">
        <f t="shared" si="13"/>
        <v>22.162823396226415</v>
      </c>
      <c r="BS16" s="44">
        <f t="shared" si="13"/>
        <v>27.8250875471698</v>
      </c>
      <c r="BT16" s="44">
        <f t="shared" si="13"/>
        <v>44.81187999999999</v>
      </c>
      <c r="BV16" s="338">
        <f t="shared" si="46"/>
        <v>1.2250861813763738</v>
      </c>
      <c r="BW16" s="92">
        <f t="shared" si="20"/>
        <v>51.513882424967235</v>
      </c>
      <c r="BX16" s="339">
        <f t="shared" si="21"/>
        <v>100.13497663600542</v>
      </c>
      <c r="BY16" s="92">
        <f t="shared" si="22"/>
        <v>200.26995327201084</v>
      </c>
      <c r="BZ16" s="92">
        <f t="shared" si="23"/>
        <v>1025.8454459304878</v>
      </c>
      <c r="CA16" s="92">
        <f t="shared" si="24"/>
        <v>16.254933994281586</v>
      </c>
      <c r="CB16" s="340">
        <f t="shared" si="25"/>
        <v>0.15132219104468522</v>
      </c>
      <c r="CC16">
        <f t="shared" si="26"/>
        <v>1013</v>
      </c>
      <c r="CD16" s="92">
        <f t="shared" si="47"/>
        <v>3.4094880637937877</v>
      </c>
      <c r="CE16" s="340">
        <f t="shared" si="14"/>
        <v>0.06929170787436155</v>
      </c>
      <c r="CF16" s="92">
        <f t="shared" si="27"/>
        <v>23.588641347460882</v>
      </c>
      <c r="CG16" s="360">
        <f t="shared" si="28"/>
        <v>45.85265056741856</v>
      </c>
      <c r="CH16" s="92">
        <f t="shared" si="29"/>
        <v>84.91910885085917</v>
      </c>
    </row>
    <row r="17" spans="1:86" ht="15.75">
      <c r="A17" s="323">
        <f t="shared" si="48"/>
        <v>9.806276377311303</v>
      </c>
      <c r="B17">
        <f t="shared" si="39"/>
        <v>121.92</v>
      </c>
      <c r="C17" s="11">
        <v>400</v>
      </c>
      <c r="D17" s="325">
        <f t="shared" si="5"/>
        <v>998.679744572234</v>
      </c>
      <c r="E17" s="326">
        <f t="shared" si="6"/>
        <v>999.6507355145052</v>
      </c>
      <c r="F17" s="327">
        <f t="shared" si="49"/>
        <v>287.3717269424334</v>
      </c>
      <c r="G17" s="328">
        <f t="shared" si="40"/>
        <v>14.221726942433406</v>
      </c>
      <c r="H17" s="92">
        <f t="shared" si="41"/>
        <v>57.59910849638013</v>
      </c>
      <c r="I17">
        <f t="shared" si="42"/>
        <v>1.21180912336372</v>
      </c>
      <c r="J17">
        <f t="shared" si="50"/>
        <v>989.2504659981801</v>
      </c>
      <c r="K17" s="329">
        <f t="shared" si="7"/>
        <v>201.08369820707696</v>
      </c>
      <c r="L17" s="329">
        <f t="shared" si="7"/>
        <v>301.62554731061545</v>
      </c>
      <c r="M17" s="329">
        <f t="shared" si="7"/>
        <v>321.7339171313231</v>
      </c>
      <c r="N17" s="329">
        <f t="shared" si="7"/>
        <v>341.8422869520308</v>
      </c>
      <c r="O17" s="329">
        <f t="shared" si="7"/>
        <v>1005.4184910353847</v>
      </c>
      <c r="P17" s="329">
        <f t="shared" si="7"/>
        <v>382.0590265934462</v>
      </c>
      <c r="Q17" s="329">
        <f t="shared" si="7"/>
        <v>402.1673964141539</v>
      </c>
      <c r="R17" s="329">
        <f t="shared" si="7"/>
        <v>422.2757662348616</v>
      </c>
      <c r="S17" s="329">
        <f t="shared" si="7"/>
        <v>442.3841360555693</v>
      </c>
      <c r="T17" s="329">
        <f t="shared" si="7"/>
        <v>462.492505876277</v>
      </c>
      <c r="U17" s="329">
        <f t="shared" si="7"/>
        <v>482.6008756969847</v>
      </c>
      <c r="V17" s="329">
        <f t="shared" si="7"/>
        <v>502.70924551769235</v>
      </c>
      <c r="W17" s="329">
        <f t="shared" si="7"/>
        <v>603.2510946212309</v>
      </c>
      <c r="X17" s="330">
        <f t="shared" si="51"/>
        <v>29.51975530659787</v>
      </c>
      <c r="Y17" s="331">
        <f t="shared" si="43"/>
        <v>749.8017847875858</v>
      </c>
      <c r="Z17" s="286">
        <f t="shared" si="8"/>
        <v>999.645175847354</v>
      </c>
      <c r="AA17" s="332">
        <f t="shared" si="52"/>
        <v>965.6045571214308</v>
      </c>
      <c r="AB17" s="333">
        <f t="shared" si="53"/>
        <v>262.3717269424334</v>
      </c>
      <c r="AC17" s="334">
        <f t="shared" si="15"/>
        <v>-10.778273057566594</v>
      </c>
      <c r="AD17" s="335">
        <f t="shared" si="9"/>
        <v>27.608746578698778</v>
      </c>
      <c r="AE17" s="336">
        <f t="shared" si="10"/>
        <v>198.31876805881615</v>
      </c>
      <c r="AF17" s="336">
        <f t="shared" si="10"/>
        <v>264.42502407842153</v>
      </c>
      <c r="AG17" s="336">
        <f t="shared" si="10"/>
        <v>330.5312800980269</v>
      </c>
      <c r="AH17" s="336">
        <f t="shared" si="10"/>
        <v>396.6375361176323</v>
      </c>
      <c r="AI17" s="336">
        <f t="shared" si="10"/>
        <v>462.7437921372376</v>
      </c>
      <c r="AJ17" s="336">
        <f t="shared" si="10"/>
        <v>528.8500481568431</v>
      </c>
      <c r="AK17" s="336">
        <f t="shared" si="10"/>
        <v>594.9563041764485</v>
      </c>
      <c r="AL17" s="336">
        <f t="shared" si="10"/>
        <v>661.0625601960538</v>
      </c>
      <c r="AM17" s="336">
        <f t="shared" si="10"/>
        <v>793.2750722352646</v>
      </c>
      <c r="AN17">
        <f t="shared" si="30"/>
        <v>340.07996152308107</v>
      </c>
      <c r="AO17">
        <f t="shared" si="16"/>
        <v>1224.2878614830918</v>
      </c>
      <c r="AP17">
        <f t="shared" si="17"/>
        <v>661.0625601960538</v>
      </c>
      <c r="AQ17" s="176">
        <f t="shared" si="31"/>
        <v>66944.87431556713</v>
      </c>
      <c r="AR17">
        <f t="shared" si="32"/>
        <v>1115.7479052594522</v>
      </c>
      <c r="AS17" s="337">
        <f t="shared" si="33"/>
        <v>287.37399999999997</v>
      </c>
      <c r="AT17" s="337">
        <f t="shared" si="18"/>
        <v>14.22399999999999</v>
      </c>
      <c r="AU17" s="280"/>
      <c r="AV17" s="281">
        <f t="shared" si="54"/>
        <v>36000</v>
      </c>
      <c r="AW17" s="361"/>
      <c r="AX17" s="64">
        <f t="shared" si="4"/>
        <v>400</v>
      </c>
      <c r="AZ17" s="280">
        <f t="shared" si="55"/>
        <v>0.12192</v>
      </c>
      <c r="BA17" s="280">
        <f t="shared" si="44"/>
        <v>287.35751999999997</v>
      </c>
      <c r="BB17" s="280">
        <f t="shared" si="34"/>
        <v>0.011083402604599613</v>
      </c>
      <c r="BC17">
        <f t="shared" si="35"/>
        <v>0.9972497657470067</v>
      </c>
      <c r="BD17">
        <f t="shared" si="11"/>
        <v>998.6762201569993</v>
      </c>
      <c r="BE17">
        <f t="shared" si="12"/>
        <v>0.9856167975889458</v>
      </c>
      <c r="BF17">
        <f t="shared" si="36"/>
        <v>340.07996152308107</v>
      </c>
      <c r="BG17">
        <f t="shared" si="56"/>
        <v>0.998648621752955</v>
      </c>
      <c r="BH17">
        <f t="shared" si="37"/>
        <v>1.21180912336372</v>
      </c>
      <c r="BI17">
        <f t="shared" si="19"/>
        <v>0.9892504659981799</v>
      </c>
      <c r="BJ17">
        <f t="shared" si="45"/>
        <v>0.9946107107799412</v>
      </c>
      <c r="BM17" s="64">
        <f t="shared" si="38"/>
        <v>0.12192</v>
      </c>
      <c r="BN17">
        <f t="shared" si="13"/>
        <v>-48.7808</v>
      </c>
      <c r="BO17">
        <f t="shared" si="13"/>
        <v>-23.640799999999995</v>
      </c>
      <c r="BP17" s="44">
        <f t="shared" si="13"/>
        <v>3.2287503360000045</v>
      </c>
      <c r="BQ17" s="44">
        <f t="shared" si="13"/>
        <v>14.207520000000002</v>
      </c>
      <c r="BR17" s="44">
        <f t="shared" si="13"/>
        <v>21.56846339622642</v>
      </c>
      <c r="BS17" s="44">
        <f t="shared" si="13"/>
        <v>27.230727547169806</v>
      </c>
      <c r="BT17" s="44">
        <f t="shared" si="13"/>
        <v>44.21751999999999</v>
      </c>
      <c r="BV17" s="338">
        <f t="shared" si="46"/>
        <v>1.2238438859582463</v>
      </c>
      <c r="BW17" s="92">
        <f t="shared" si="20"/>
        <v>51.72319570548702</v>
      </c>
      <c r="BX17" s="339">
        <f t="shared" si="21"/>
        <v>100.54184910353848</v>
      </c>
      <c r="BY17" s="92">
        <f t="shared" si="22"/>
        <v>201.08369820707696</v>
      </c>
      <c r="BZ17" s="92">
        <f t="shared" si="23"/>
        <v>1015.0469004269336</v>
      </c>
      <c r="CA17" s="92">
        <f t="shared" si="24"/>
        <v>16.370680269934297</v>
      </c>
      <c r="CB17" s="340">
        <f t="shared" si="25"/>
        <v>0.15209127722150897</v>
      </c>
      <c r="CC17">
        <f t="shared" si="26"/>
        <v>1013</v>
      </c>
      <c r="CD17" s="92">
        <f t="shared" si="47"/>
        <v>14.323779843000693</v>
      </c>
      <c r="CE17" s="340">
        <f>CF17/$AN17</f>
        <v>0.1421693951838594</v>
      </c>
      <c r="CF17" s="92">
        <f t="shared" si="27"/>
        <v>48.34896244388661</v>
      </c>
      <c r="CG17" s="360">
        <f t="shared" si="28"/>
        <v>93.98286436176663</v>
      </c>
      <c r="CH17" s="92">
        <f t="shared" si="29"/>
        <v>174.05626479799182</v>
      </c>
    </row>
    <row r="18" spans="1:86" ht="15.75">
      <c r="A18" s="323">
        <f t="shared" si="48"/>
        <v>9.805715983311845</v>
      </c>
      <c r="B18">
        <f t="shared" si="39"/>
        <v>304.8</v>
      </c>
      <c r="C18" s="11">
        <v>1000</v>
      </c>
      <c r="D18" s="325">
        <f t="shared" si="5"/>
        <v>977.1074739240127</v>
      </c>
      <c r="E18" s="326">
        <f t="shared" si="6"/>
        <v>979.4966473325485</v>
      </c>
      <c r="F18" s="327">
        <f t="shared" si="49"/>
        <v>286.2043173560835</v>
      </c>
      <c r="G18" s="328">
        <f t="shared" si="40"/>
        <v>13.054317356083516</v>
      </c>
      <c r="H18" s="92">
        <f t="shared" si="41"/>
        <v>55.49777124095033</v>
      </c>
      <c r="I18">
        <f t="shared" si="42"/>
        <v>1.19222092201644</v>
      </c>
      <c r="J18">
        <f t="shared" si="50"/>
        <v>973.259798047872</v>
      </c>
      <c r="K18" s="329">
        <f t="shared" si="7"/>
        <v>202.72887174263772</v>
      </c>
      <c r="L18" s="329">
        <f t="shared" si="7"/>
        <v>304.0933076139566</v>
      </c>
      <c r="M18" s="329">
        <f t="shared" si="7"/>
        <v>324.36619478822035</v>
      </c>
      <c r="N18" s="329">
        <f t="shared" si="7"/>
        <v>344.6390819624841</v>
      </c>
      <c r="O18" s="329">
        <f t="shared" si="7"/>
        <v>1013.6443587131887</v>
      </c>
      <c r="P18" s="329">
        <f t="shared" si="7"/>
        <v>385.1848563110117</v>
      </c>
      <c r="Q18" s="329">
        <f t="shared" si="7"/>
        <v>405.45774348527544</v>
      </c>
      <c r="R18" s="329">
        <f t="shared" si="7"/>
        <v>425.7306306595392</v>
      </c>
      <c r="S18" s="329">
        <f t="shared" si="7"/>
        <v>446.003517833803</v>
      </c>
      <c r="T18" s="329">
        <f t="shared" si="7"/>
        <v>466.2764050080668</v>
      </c>
      <c r="U18" s="329">
        <f t="shared" si="7"/>
        <v>486.54929218233053</v>
      </c>
      <c r="V18" s="329">
        <f t="shared" si="7"/>
        <v>506.82217935659435</v>
      </c>
      <c r="W18" s="329">
        <f t="shared" si="7"/>
        <v>608.1866152279132</v>
      </c>
      <c r="X18" s="330">
        <f t="shared" si="51"/>
        <v>28.92460368971565</v>
      </c>
      <c r="Y18" s="331">
        <f t="shared" si="43"/>
        <v>734.6849337187774</v>
      </c>
      <c r="Z18" s="286">
        <f t="shared" si="8"/>
        <v>979.4829486622997</v>
      </c>
      <c r="AA18" s="332">
        <f t="shared" si="52"/>
        <v>944.2971037644237</v>
      </c>
      <c r="AB18" s="333">
        <f t="shared" si="53"/>
        <v>261.2043173560835</v>
      </c>
      <c r="AC18" s="334">
        <f t="shared" si="15"/>
        <v>-11.945682643916484</v>
      </c>
      <c r="AD18" s="335">
        <f t="shared" si="9"/>
        <v>28.063962309732283</v>
      </c>
      <c r="AE18" s="336">
        <f t="shared" si="10"/>
        <v>197.91553625638463</v>
      </c>
      <c r="AF18" s="336">
        <f t="shared" si="10"/>
        <v>263.8873816751795</v>
      </c>
      <c r="AG18" s="336">
        <f t="shared" si="10"/>
        <v>329.85922709397437</v>
      </c>
      <c r="AH18" s="336">
        <f t="shared" si="10"/>
        <v>395.83107251276925</v>
      </c>
      <c r="AI18" s="336">
        <f t="shared" si="10"/>
        <v>461.8029179315641</v>
      </c>
      <c r="AJ18" s="336">
        <f t="shared" si="10"/>
        <v>527.774763350359</v>
      </c>
      <c r="AK18" s="336">
        <f t="shared" si="10"/>
        <v>593.7466087691539</v>
      </c>
      <c r="AL18" s="336">
        <f t="shared" si="10"/>
        <v>659.7184541879487</v>
      </c>
      <c r="AM18" s="336">
        <f t="shared" si="10"/>
        <v>791.6621450255385</v>
      </c>
      <c r="AN18">
        <f t="shared" si="30"/>
        <v>339.38849365446697</v>
      </c>
      <c r="AO18">
        <f t="shared" si="16"/>
        <v>1221.7985771560811</v>
      </c>
      <c r="AP18">
        <f t="shared" si="17"/>
        <v>659.7184541879487</v>
      </c>
      <c r="AQ18" s="176">
        <f t="shared" si="31"/>
        <v>66808.758593399</v>
      </c>
      <c r="AR18">
        <f t="shared" si="32"/>
        <v>1113.4793098899834</v>
      </c>
      <c r="AS18" s="337">
        <f t="shared" si="33"/>
        <v>286.21</v>
      </c>
      <c r="AT18" s="337">
        <f t="shared" si="18"/>
        <v>13.060000000000002</v>
      </c>
      <c r="AU18" s="280"/>
      <c r="AV18" s="281">
        <f t="shared" si="54"/>
        <v>36000</v>
      </c>
      <c r="AW18" s="361"/>
      <c r="AX18" s="64">
        <f t="shared" si="4"/>
        <v>1000</v>
      </c>
      <c r="AZ18" s="280">
        <f t="shared" si="55"/>
        <v>0.3048</v>
      </c>
      <c r="BA18" s="280">
        <f t="shared" si="44"/>
        <v>286.1688</v>
      </c>
      <c r="BB18" s="280">
        <f t="shared" si="34"/>
        <v>0.02770850651149903</v>
      </c>
      <c r="BC18">
        <f t="shared" si="35"/>
        <v>0.9931244143675169</v>
      </c>
      <c r="BD18">
        <f t="shared" si="11"/>
        <v>977.1342591712055</v>
      </c>
      <c r="BE18">
        <f t="shared" si="12"/>
        <v>0.9643565350813772</v>
      </c>
      <c r="BF18">
        <f t="shared" si="36"/>
        <v>339.38849365446697</v>
      </c>
      <c r="BG18">
        <f t="shared" si="56"/>
        <v>0.9966181186004455</v>
      </c>
      <c r="BH18">
        <f t="shared" si="37"/>
        <v>1.19222092201644</v>
      </c>
      <c r="BI18">
        <f t="shared" si="19"/>
        <v>0.973259798047872</v>
      </c>
      <c r="BJ18">
        <f t="shared" si="45"/>
        <v>0.9865393038535626</v>
      </c>
      <c r="BM18" s="64">
        <f t="shared" si="38"/>
        <v>0.3048</v>
      </c>
      <c r="BN18">
        <f t="shared" si="13"/>
        <v>-46.952</v>
      </c>
      <c r="BO18">
        <f t="shared" si="13"/>
        <v>-21.811999999999998</v>
      </c>
      <c r="BP18" s="44">
        <f t="shared" si="13"/>
        <v>2.1572198399999962</v>
      </c>
      <c r="BQ18" s="44">
        <f t="shared" si="13"/>
        <v>13.018799999999999</v>
      </c>
      <c r="BR18" s="44">
        <f t="shared" si="13"/>
        <v>20.379743396226417</v>
      </c>
      <c r="BS18" s="44">
        <f t="shared" si="13"/>
        <v>26.042007547169803</v>
      </c>
      <c r="BT18" s="44">
        <f t="shared" si="13"/>
        <v>43.02879999999999</v>
      </c>
      <c r="BV18" s="338">
        <f t="shared" si="46"/>
        <v>1.2213555043448459</v>
      </c>
      <c r="BW18" s="92">
        <f t="shared" si="20"/>
        <v>52.14637089824515</v>
      </c>
      <c r="BX18" s="339">
        <f t="shared" si="21"/>
        <v>101.36443587131886</v>
      </c>
      <c r="BY18" s="92">
        <f t="shared" si="22"/>
        <v>202.72887174263772</v>
      </c>
      <c r="BZ18" s="92">
        <f t="shared" si="23"/>
        <v>993.7400772934043</v>
      </c>
      <c r="CA18" s="92">
        <f t="shared" si="24"/>
        <v>16.605818122198787</v>
      </c>
      <c r="CB18" s="340">
        <f t="shared" si="25"/>
        <v>0.1536480224675372</v>
      </c>
      <c r="CC18">
        <f t="shared" si="26"/>
        <v>1013</v>
      </c>
      <c r="CD18" s="92">
        <f t="shared" si="47"/>
        <v>35.865740828794515</v>
      </c>
      <c r="CE18" s="340">
        <f aca="true" t="shared" si="57" ref="CE18:CE45">CF18/$AN18</f>
        <v>0.22542450708014392</v>
      </c>
      <c r="CF18" s="92">
        <f t="shared" si="27"/>
        <v>76.50648389073076</v>
      </c>
      <c r="CG18" s="360">
        <f t="shared" si="28"/>
        <v>148.71670734699285</v>
      </c>
      <c r="CH18" s="92">
        <f t="shared" si="29"/>
        <v>275.4233420066308</v>
      </c>
    </row>
    <row r="19" spans="1:86" s="363" customFormat="1" ht="15.75">
      <c r="A19" s="362">
        <f t="shared" si="48"/>
        <v>9.805249025006264</v>
      </c>
      <c r="B19" s="363">
        <f t="shared" si="39"/>
        <v>457.20000000000005</v>
      </c>
      <c r="C19" s="364">
        <v>1500</v>
      </c>
      <c r="D19" s="365">
        <f t="shared" si="5"/>
        <v>959.38803599081</v>
      </c>
      <c r="E19" s="366">
        <f t="shared" si="6"/>
        <v>962.9243627791869</v>
      </c>
      <c r="F19" s="367">
        <f t="shared" si="49"/>
        <v>285.2314760341253</v>
      </c>
      <c r="G19" s="368">
        <f t="shared" si="40"/>
        <v>12.08147603412533</v>
      </c>
      <c r="H19" s="369">
        <f t="shared" si="41"/>
        <v>53.74665686142559</v>
      </c>
      <c r="I19" s="363">
        <f t="shared" si="42"/>
        <v>1.1760470350444114</v>
      </c>
      <c r="J19" s="363">
        <f t="shared" si="50"/>
        <v>960.0563777107907</v>
      </c>
      <c r="K19" s="370">
        <f t="shared" si="7"/>
        <v>204.11815171881852</v>
      </c>
      <c r="L19" s="370">
        <f t="shared" si="7"/>
        <v>306.17722757822776</v>
      </c>
      <c r="M19" s="370">
        <f t="shared" si="7"/>
        <v>326.5890427501096</v>
      </c>
      <c r="N19" s="370">
        <f t="shared" si="7"/>
        <v>347.0008579219915</v>
      </c>
      <c r="O19" s="370">
        <f t="shared" si="7"/>
        <v>1020.5907585940926</v>
      </c>
      <c r="P19" s="370">
        <f t="shared" si="7"/>
        <v>387.8244882657552</v>
      </c>
      <c r="Q19" s="370">
        <f t="shared" si="7"/>
        <v>408.23630343763705</v>
      </c>
      <c r="R19" s="370">
        <f t="shared" si="7"/>
        <v>428.64811860951886</v>
      </c>
      <c r="S19" s="370">
        <f t="shared" si="7"/>
        <v>449.05993378140073</v>
      </c>
      <c r="T19" s="370">
        <f t="shared" si="7"/>
        <v>469.4717489532826</v>
      </c>
      <c r="U19" s="370">
        <f t="shared" si="7"/>
        <v>489.8835641251644</v>
      </c>
      <c r="V19" s="370">
        <f t="shared" si="7"/>
        <v>510.2953792970463</v>
      </c>
      <c r="W19" s="370">
        <f t="shared" si="7"/>
        <v>612.3544551564555</v>
      </c>
      <c r="X19" s="330">
        <f t="shared" si="51"/>
        <v>28.435222981527847</v>
      </c>
      <c r="Y19" s="371">
        <f t="shared" si="43"/>
        <v>722.2546637308072</v>
      </c>
      <c r="Z19" s="372">
        <f t="shared" si="8"/>
        <v>962.9040634021898</v>
      </c>
      <c r="AA19" s="373">
        <f t="shared" si="52"/>
        <v>926.8006659033086</v>
      </c>
      <c r="AB19" s="363">
        <f t="shared" si="53"/>
        <v>260.2314760341253</v>
      </c>
      <c r="AC19" s="374">
        <f t="shared" si="15"/>
        <v>-12.91852396587467</v>
      </c>
      <c r="AD19" s="375">
        <f t="shared" si="9"/>
        <v>28.45127399221273</v>
      </c>
      <c r="AE19" s="376">
        <f t="shared" si="10"/>
        <v>197.57888111939099</v>
      </c>
      <c r="AF19" s="376">
        <f t="shared" si="10"/>
        <v>263.438508159188</v>
      </c>
      <c r="AG19" s="376">
        <f t="shared" si="10"/>
        <v>329.298135198985</v>
      </c>
      <c r="AH19" s="376">
        <f t="shared" si="10"/>
        <v>395.15776223878197</v>
      </c>
      <c r="AI19" s="376">
        <f t="shared" si="10"/>
        <v>461.01738927857895</v>
      </c>
      <c r="AJ19" s="376">
        <f t="shared" si="10"/>
        <v>526.877016318376</v>
      </c>
      <c r="AK19" s="376">
        <f t="shared" si="10"/>
        <v>592.736643358173</v>
      </c>
      <c r="AL19" s="376">
        <f t="shared" si="10"/>
        <v>658.59627039797</v>
      </c>
      <c r="AM19" s="376">
        <f t="shared" si="10"/>
        <v>790.3155244775639</v>
      </c>
      <c r="AN19" s="363">
        <f t="shared" si="30"/>
        <v>338.81119243806677</v>
      </c>
      <c r="AO19" s="363">
        <f t="shared" si="16"/>
        <v>1219.7202927770404</v>
      </c>
      <c r="AP19" s="363">
        <f t="shared" si="17"/>
        <v>658.59627039797</v>
      </c>
      <c r="AQ19" s="377">
        <f t="shared" si="31"/>
        <v>66695.11662166669</v>
      </c>
      <c r="AR19" s="363">
        <f t="shared" si="32"/>
        <v>1111.5852770277781</v>
      </c>
      <c r="AS19" s="378">
        <f t="shared" si="33"/>
        <v>285.23999999999995</v>
      </c>
      <c r="AT19" s="378">
        <f t="shared" si="18"/>
        <v>12.089999999999975</v>
      </c>
      <c r="AU19" s="379"/>
      <c r="AV19" s="380">
        <f t="shared" si="54"/>
        <v>36000</v>
      </c>
      <c r="AW19" s="381"/>
      <c r="AX19" s="363">
        <f t="shared" si="4"/>
        <v>1500</v>
      </c>
      <c r="AZ19" s="379">
        <f t="shared" si="55"/>
        <v>0.45720000000000005</v>
      </c>
      <c r="BA19" s="379">
        <f t="shared" si="44"/>
        <v>285.1782</v>
      </c>
      <c r="BB19" s="379">
        <f t="shared" si="34"/>
        <v>0.04156275976724855</v>
      </c>
      <c r="BC19" s="363">
        <f t="shared" si="35"/>
        <v>0.9896866215512755</v>
      </c>
      <c r="BD19" s="363">
        <f t="shared" si="11"/>
        <v>959.4715028980622</v>
      </c>
      <c r="BE19" s="363">
        <f t="shared" si="12"/>
        <v>0.9469247499610779</v>
      </c>
      <c r="BF19" s="363">
        <f t="shared" si="36"/>
        <v>338.81119243806677</v>
      </c>
      <c r="BG19" s="363">
        <f t="shared" si="56"/>
        <v>0.9949228671027908</v>
      </c>
      <c r="BH19" s="363">
        <f t="shared" si="37"/>
        <v>1.1760470350444114</v>
      </c>
      <c r="BI19" s="363">
        <f t="shared" si="19"/>
        <v>0.9600563777107908</v>
      </c>
      <c r="BJ19" s="363">
        <f t="shared" si="45"/>
        <v>0.9798246668209526</v>
      </c>
      <c r="BM19" s="363">
        <f t="shared" si="38"/>
        <v>0.45720000000000005</v>
      </c>
      <c r="BN19" s="363">
        <f t="shared" si="13"/>
        <v>-45.428</v>
      </c>
      <c r="BO19" s="382">
        <f t="shared" si="13"/>
        <v>-20.659999999999997</v>
      </c>
      <c r="BP19" s="383">
        <f t="shared" si="13"/>
        <v>1.2642777599999988</v>
      </c>
      <c r="BQ19" s="383">
        <f t="shared" si="13"/>
        <v>12.028199999999998</v>
      </c>
      <c r="BR19" s="383">
        <f t="shared" si="13"/>
        <v>19.389143396226416</v>
      </c>
      <c r="BS19" s="383">
        <f t="shared" si="13"/>
        <v>25.051407547169802</v>
      </c>
      <c r="BT19" s="383">
        <f t="shared" si="13"/>
        <v>42.03819999999999</v>
      </c>
      <c r="BV19" s="338">
        <f t="shared" si="46"/>
        <v>1.21927797363447</v>
      </c>
      <c r="BW19" s="92">
        <f t="shared" si="20"/>
        <v>52.50372458100721</v>
      </c>
      <c r="BX19" s="339">
        <f t="shared" si="21"/>
        <v>102.05907585940926</v>
      </c>
      <c r="BY19" s="92">
        <f t="shared" si="22"/>
        <v>204.11815171881852</v>
      </c>
      <c r="BZ19" s="92">
        <f t="shared" si="23"/>
        <v>976.2770617390656</v>
      </c>
      <c r="CA19" s="92">
        <f t="shared" si="24"/>
        <v>16.805558841003364</v>
      </c>
      <c r="CB19" s="340">
        <f t="shared" si="25"/>
        <v>0.15496455180005503</v>
      </c>
      <c r="CC19">
        <f t="shared" si="26"/>
        <v>1013</v>
      </c>
      <c r="CD19" s="92">
        <f t="shared" si="47"/>
        <v>53.52849710193777</v>
      </c>
      <c r="CE19" s="340">
        <f t="shared" si="57"/>
        <v>0.2758627850836708</v>
      </c>
      <c r="CF19" s="92">
        <f t="shared" si="27"/>
        <v>93.46539916348465</v>
      </c>
      <c r="CG19" s="360">
        <f t="shared" si="28"/>
        <v>181.68220139770233</v>
      </c>
      <c r="CH19" s="92">
        <f t="shared" si="29"/>
        <v>336.47543698854474</v>
      </c>
    </row>
    <row r="20" spans="1:86" ht="15.75">
      <c r="A20" s="323">
        <f t="shared" si="48"/>
        <v>9.80478210005544</v>
      </c>
      <c r="B20">
        <f t="shared" si="39"/>
        <v>609.6</v>
      </c>
      <c r="C20" s="384">
        <v>2000</v>
      </c>
      <c r="D20" s="325">
        <f t="shared" si="5"/>
        <v>941.9006505170015</v>
      </c>
      <c r="E20" s="326">
        <f t="shared" si="6"/>
        <v>946.5530475039001</v>
      </c>
      <c r="F20" s="327">
        <f t="shared" si="49"/>
        <v>284.25863471216707</v>
      </c>
      <c r="G20" s="328">
        <f t="shared" si="40"/>
        <v>11.108634712167088</v>
      </c>
      <c r="H20" s="92">
        <f t="shared" si="41"/>
        <v>51.995542481900756</v>
      </c>
      <c r="I20">
        <f t="shared" si="42"/>
        <v>1.16000873121146</v>
      </c>
      <c r="J20">
        <f t="shared" si="50"/>
        <v>946.9636395603077</v>
      </c>
      <c r="K20" s="329">
        <f t="shared" si="7"/>
        <v>205.52437859081195</v>
      </c>
      <c r="L20" s="329">
        <f t="shared" si="7"/>
        <v>308.28656788621794</v>
      </c>
      <c r="M20" s="329">
        <f t="shared" si="7"/>
        <v>328.8390057452991</v>
      </c>
      <c r="N20" s="329">
        <f t="shared" si="7"/>
        <v>349.3914436043803</v>
      </c>
      <c r="O20" s="329">
        <f t="shared" si="7"/>
        <v>1027.6218929540598</v>
      </c>
      <c r="P20" s="329">
        <f t="shared" si="7"/>
        <v>390.4963193225427</v>
      </c>
      <c r="Q20" s="329">
        <f t="shared" si="7"/>
        <v>411.0487571816239</v>
      </c>
      <c r="R20" s="329">
        <f t="shared" si="7"/>
        <v>431.6011950407051</v>
      </c>
      <c r="S20" s="329">
        <f t="shared" si="7"/>
        <v>452.15363289978626</v>
      </c>
      <c r="T20" s="329">
        <f t="shared" si="7"/>
        <v>472.7060707588675</v>
      </c>
      <c r="U20" s="329">
        <f t="shared" si="7"/>
        <v>493.2585086179487</v>
      </c>
      <c r="V20" s="329">
        <f t="shared" si="7"/>
        <v>513.8109464770299</v>
      </c>
      <c r="W20" s="329">
        <f t="shared" si="7"/>
        <v>616.5731357724359</v>
      </c>
      <c r="X20" s="330">
        <f t="shared" si="51"/>
        <v>27.95177691001078</v>
      </c>
      <c r="Y20" s="331">
        <f t="shared" si="43"/>
        <v>709.9751335142737</v>
      </c>
      <c r="Z20" s="286">
        <f t="shared" si="8"/>
        <v>946.526310761987</v>
      </c>
      <c r="AA20" s="332">
        <f t="shared" si="52"/>
        <v>909.538327953685</v>
      </c>
      <c r="AB20" s="333">
        <f t="shared" si="53"/>
        <v>259.25863471216707</v>
      </c>
      <c r="AC20" s="334">
        <f t="shared" si="15"/>
        <v>-13.891365287832912</v>
      </c>
      <c r="AD20" s="335">
        <f t="shared" si="9"/>
        <v>28.846015517665187</v>
      </c>
      <c r="AE20" s="336">
        <f t="shared" si="10"/>
        <v>197.24165137497857</v>
      </c>
      <c r="AF20" s="336">
        <f t="shared" si="10"/>
        <v>262.98886849997143</v>
      </c>
      <c r="AG20" s="336">
        <f t="shared" si="10"/>
        <v>328.7360856249643</v>
      </c>
      <c r="AH20" s="336">
        <f t="shared" si="10"/>
        <v>394.48330274995715</v>
      </c>
      <c r="AI20" s="336">
        <f t="shared" si="10"/>
        <v>460.23051987494995</v>
      </c>
      <c r="AJ20" s="336">
        <f t="shared" si="10"/>
        <v>525.9777369999429</v>
      </c>
      <c r="AK20" s="336">
        <f t="shared" si="10"/>
        <v>591.7249541249357</v>
      </c>
      <c r="AL20" s="336">
        <f t="shared" si="10"/>
        <v>657.4721712499286</v>
      </c>
      <c r="AM20" s="336">
        <f t="shared" si="10"/>
        <v>788.9666054999143</v>
      </c>
      <c r="AN20">
        <f t="shared" si="30"/>
        <v>338.2329058763521</v>
      </c>
      <c r="AO20">
        <f t="shared" si="16"/>
        <v>1217.6384611548676</v>
      </c>
      <c r="AP20">
        <f t="shared" si="17"/>
        <v>657.4721712499286</v>
      </c>
      <c r="AQ20" s="176">
        <f t="shared" si="31"/>
        <v>66581.28068432127</v>
      </c>
      <c r="AR20">
        <f t="shared" si="32"/>
        <v>1109.6880114053547</v>
      </c>
      <c r="AS20" s="337">
        <f t="shared" si="33"/>
        <v>284.27</v>
      </c>
      <c r="AT20" s="337">
        <f t="shared" si="18"/>
        <v>11.120000000000005</v>
      </c>
      <c r="AU20" s="280"/>
      <c r="AV20" s="281">
        <f t="shared" si="54"/>
        <v>36000</v>
      </c>
      <c r="AW20" s="361"/>
      <c r="AX20" s="64">
        <f t="shared" si="4"/>
        <v>2000</v>
      </c>
      <c r="AZ20" s="280">
        <f t="shared" si="55"/>
        <v>0.6096</v>
      </c>
      <c r="BA20" s="280">
        <f t="shared" si="44"/>
        <v>284.1876</v>
      </c>
      <c r="BB20" s="280">
        <f t="shared" si="34"/>
        <v>0.05541701302299806</v>
      </c>
      <c r="BC20">
        <f t="shared" si="35"/>
        <v>0.9862488287350338</v>
      </c>
      <c r="BD20">
        <f t="shared" si="11"/>
        <v>942.0682149161388</v>
      </c>
      <c r="BE20">
        <f t="shared" si="12"/>
        <v>0.9297490401343586</v>
      </c>
      <c r="BF20">
        <f t="shared" si="36"/>
        <v>338.2329058763521</v>
      </c>
      <c r="BG20">
        <f t="shared" si="56"/>
        <v>0.9932247221275673</v>
      </c>
      <c r="BH20">
        <f t="shared" si="37"/>
        <v>1.16000873121146</v>
      </c>
      <c r="BI20">
        <f t="shared" si="19"/>
        <v>0.9469636395603077</v>
      </c>
      <c r="BJ20">
        <f t="shared" si="45"/>
        <v>0.9731205678436294</v>
      </c>
      <c r="BM20" s="64">
        <f t="shared" si="38"/>
        <v>0.6096</v>
      </c>
      <c r="BN20">
        <f t="shared" si="13"/>
        <v>-43.903999999999996</v>
      </c>
      <c r="BO20" s="385">
        <f t="shared" si="13"/>
        <v>-20.659999999999997</v>
      </c>
      <c r="BP20" s="44">
        <f t="shared" si="13"/>
        <v>0.3713356800000014</v>
      </c>
      <c r="BQ20" s="44">
        <f t="shared" si="13"/>
        <v>11.037599999999998</v>
      </c>
      <c r="BR20" s="44">
        <f t="shared" si="13"/>
        <v>18.398543396226415</v>
      </c>
      <c r="BS20" s="44">
        <f t="shared" si="13"/>
        <v>24.0608075471698</v>
      </c>
      <c r="BT20" s="44">
        <f t="shared" si="13"/>
        <v>41.04759999999999</v>
      </c>
      <c r="BV20" s="338">
        <f t="shared" si="46"/>
        <v>1.2171968969673337</v>
      </c>
      <c r="BW20" s="92">
        <f t="shared" si="20"/>
        <v>52.86543738196996</v>
      </c>
      <c r="BX20" s="339">
        <f t="shared" si="21"/>
        <v>102.76218929540597</v>
      </c>
      <c r="BY20" s="92">
        <f t="shared" si="22"/>
        <v>205.52437859081195</v>
      </c>
      <c r="BZ20" s="92">
        <f t="shared" si="23"/>
        <v>959.0770472569732</v>
      </c>
      <c r="CA20" s="92">
        <f t="shared" si="24"/>
        <v>17.008832340834335</v>
      </c>
      <c r="CB20" s="340">
        <f t="shared" si="25"/>
        <v>0.15629891847748245</v>
      </c>
      <c r="CC20">
        <f t="shared" si="26"/>
        <v>1013</v>
      </c>
      <c r="CD20" s="92">
        <f t="shared" si="47"/>
        <v>70.9317850838612</v>
      </c>
      <c r="CE20" s="340">
        <f t="shared" si="57"/>
        <v>0.3180994571796883</v>
      </c>
      <c r="CF20" s="92">
        <f t="shared" si="27"/>
        <v>107.5917037595762</v>
      </c>
      <c r="CG20" s="360">
        <f t="shared" si="28"/>
        <v>209.1415407853533</v>
      </c>
      <c r="CH20" s="92">
        <f t="shared" si="29"/>
        <v>387.3301335344743</v>
      </c>
    </row>
    <row r="21" spans="1:86" ht="15.75">
      <c r="A21" s="323">
        <f t="shared" si="48"/>
        <v>9.804315208456199</v>
      </c>
      <c r="B21">
        <f t="shared" si="39"/>
        <v>762</v>
      </c>
      <c r="C21" s="384">
        <v>2500</v>
      </c>
      <c r="D21" s="325">
        <f t="shared" si="5"/>
        <v>924.6434513813375</v>
      </c>
      <c r="E21" s="326">
        <f t="shared" si="6"/>
        <v>930.381236956019</v>
      </c>
      <c r="F21" s="327">
        <f t="shared" si="49"/>
        <v>283.2857933902088</v>
      </c>
      <c r="G21" s="328">
        <f t="shared" si="40"/>
        <v>10.135793390208846</v>
      </c>
      <c r="H21" s="92">
        <f t="shared" si="41"/>
        <v>50.24442810237592</v>
      </c>
      <c r="I21">
        <f t="shared" si="42"/>
        <v>1.1441056063666846</v>
      </c>
      <c r="J21">
        <f t="shared" si="50"/>
        <v>933.9812536711404</v>
      </c>
      <c r="K21" s="329">
        <f t="shared" si="7"/>
        <v>206.94784862905783</v>
      </c>
      <c r="L21" s="329">
        <f t="shared" si="7"/>
        <v>310.42177294358675</v>
      </c>
      <c r="M21" s="329">
        <f t="shared" si="7"/>
        <v>331.11655780649255</v>
      </c>
      <c r="N21" s="329">
        <f t="shared" si="7"/>
        <v>351.8113426693983</v>
      </c>
      <c r="O21" s="329">
        <f t="shared" si="7"/>
        <v>1034.739243145289</v>
      </c>
      <c r="P21" s="329">
        <f t="shared" si="7"/>
        <v>393.20091239520985</v>
      </c>
      <c r="Q21" s="329">
        <f t="shared" si="7"/>
        <v>413.89569725811566</v>
      </c>
      <c r="R21" s="329">
        <f t="shared" si="7"/>
        <v>434.59048212102147</v>
      </c>
      <c r="S21" s="329">
        <f t="shared" si="7"/>
        <v>455.2852669839272</v>
      </c>
      <c r="T21" s="329">
        <f t="shared" si="7"/>
        <v>475.980051846833</v>
      </c>
      <c r="U21" s="329">
        <f t="shared" si="7"/>
        <v>496.67483670973877</v>
      </c>
      <c r="V21" s="329">
        <f t="shared" si="7"/>
        <v>517.3696215726445</v>
      </c>
      <c r="W21" s="329">
        <f t="shared" si="7"/>
        <v>620.8435458871735</v>
      </c>
      <c r="X21" s="330">
        <f t="shared" si="51"/>
        <v>27.474222226881974</v>
      </c>
      <c r="Y21" s="331">
        <f t="shared" si="43"/>
        <v>697.8452445628021</v>
      </c>
      <c r="Z21" s="286">
        <f t="shared" si="8"/>
        <v>930.3482243904255</v>
      </c>
      <c r="AA21" s="332">
        <f t="shared" si="52"/>
        <v>892.5081671587948</v>
      </c>
      <c r="AB21" s="333">
        <f t="shared" si="53"/>
        <v>258.2857933902088</v>
      </c>
      <c r="AC21" s="334">
        <f t="shared" si="15"/>
        <v>-14.864206609791154</v>
      </c>
      <c r="AD21" s="335">
        <f t="shared" si="9"/>
        <v>29.24836933955509</v>
      </c>
      <c r="AE21" s="336">
        <f t="shared" si="10"/>
        <v>196.9038440708223</v>
      </c>
      <c r="AF21" s="336">
        <f t="shared" si="10"/>
        <v>262.5384587610964</v>
      </c>
      <c r="AG21" s="336">
        <f t="shared" si="10"/>
        <v>328.1730734513705</v>
      </c>
      <c r="AH21" s="336">
        <f t="shared" si="10"/>
        <v>393.8076881416446</v>
      </c>
      <c r="AI21" s="336">
        <f t="shared" si="10"/>
        <v>459.44230283191865</v>
      </c>
      <c r="AJ21" s="336">
        <f t="shared" si="10"/>
        <v>525.0769175221928</v>
      </c>
      <c r="AK21" s="336">
        <f t="shared" si="10"/>
        <v>590.7115322124669</v>
      </c>
      <c r="AL21" s="336">
        <f t="shared" si="10"/>
        <v>656.346146902741</v>
      </c>
      <c r="AM21" s="336">
        <f t="shared" si="10"/>
        <v>787.6153762832892</v>
      </c>
      <c r="AN21">
        <f t="shared" si="30"/>
        <v>337.6536289066323</v>
      </c>
      <c r="AO21">
        <f t="shared" si="16"/>
        <v>1215.5530640638765</v>
      </c>
      <c r="AP21">
        <f t="shared" si="17"/>
        <v>656.346146902741</v>
      </c>
      <c r="AQ21" s="176">
        <f t="shared" si="31"/>
        <v>66467.24978477015</v>
      </c>
      <c r="AR21">
        <f t="shared" si="32"/>
        <v>1107.7874964128357</v>
      </c>
      <c r="AS21" s="337">
        <f t="shared" si="33"/>
        <v>283.29999999999995</v>
      </c>
      <c r="AT21" s="337">
        <f t="shared" si="18"/>
        <v>10.149999999999977</v>
      </c>
      <c r="AU21" s="280"/>
      <c r="AV21" s="281">
        <f t="shared" si="54"/>
        <v>36000</v>
      </c>
      <c r="AW21" s="361"/>
      <c r="AX21" s="64">
        <f t="shared" si="4"/>
        <v>2500</v>
      </c>
      <c r="AZ21" s="280">
        <f t="shared" si="55"/>
        <v>0.762</v>
      </c>
      <c r="BA21" s="280">
        <f t="shared" si="44"/>
        <v>283.197</v>
      </c>
      <c r="BB21" s="280">
        <f t="shared" si="34"/>
        <v>0.06927126627874758</v>
      </c>
      <c r="BC21">
        <f t="shared" si="35"/>
        <v>0.9828110359187924</v>
      </c>
      <c r="BD21">
        <f t="shared" si="11"/>
        <v>924.9214682368735</v>
      </c>
      <c r="BE21">
        <f t="shared" si="12"/>
        <v>0.912826516888106</v>
      </c>
      <c r="BF21">
        <f t="shared" si="36"/>
        <v>337.6536289066323</v>
      </c>
      <c r="BG21">
        <f t="shared" si="56"/>
        <v>0.9915236688081273</v>
      </c>
      <c r="BH21">
        <f t="shared" si="37"/>
        <v>1.1441056063666846</v>
      </c>
      <c r="BI21">
        <f t="shared" si="19"/>
        <v>0.9339812536711405</v>
      </c>
      <c r="BJ21">
        <f t="shared" si="45"/>
        <v>0.9664270555355642</v>
      </c>
      <c r="BM21" s="64">
        <f t="shared" si="38"/>
        <v>0.762</v>
      </c>
      <c r="BN21">
        <f t="shared" si="13"/>
        <v>-42.38</v>
      </c>
      <c r="BO21" s="385">
        <f t="shared" si="13"/>
        <v>-20.659999999999997</v>
      </c>
      <c r="BP21" s="44">
        <f t="shared" si="13"/>
        <v>-0.521606399999996</v>
      </c>
      <c r="BQ21" s="44">
        <f t="shared" si="13"/>
        <v>10.046999999999997</v>
      </c>
      <c r="BR21" s="44">
        <f t="shared" si="13"/>
        <v>17.407943396226415</v>
      </c>
      <c r="BS21" s="44">
        <f t="shared" si="13"/>
        <v>23.0702075471698</v>
      </c>
      <c r="BT21" s="44">
        <f t="shared" si="13"/>
        <v>40.05699999999999</v>
      </c>
      <c r="BV21" s="338">
        <f t="shared" si="46"/>
        <v>1.21511225612436</v>
      </c>
      <c r="BW21" s="92">
        <f t="shared" si="20"/>
        <v>53.231585508474325</v>
      </c>
      <c r="BX21" s="339">
        <f t="shared" si="21"/>
        <v>103.47392431452892</v>
      </c>
      <c r="BY21" s="92">
        <f t="shared" si="22"/>
        <v>206.94784862905783</v>
      </c>
      <c r="BZ21" s="92">
        <f t="shared" si="23"/>
        <v>942.1371889842522</v>
      </c>
      <c r="CA21" s="92">
        <f t="shared" si="24"/>
        <v>17.215720747378754</v>
      </c>
      <c r="CB21" s="340">
        <f t="shared" si="25"/>
        <v>0.15765145389032342</v>
      </c>
      <c r="CC21">
        <f t="shared" si="26"/>
        <v>1013</v>
      </c>
      <c r="CD21" s="92">
        <f t="shared" si="47"/>
        <v>88.07853176312653</v>
      </c>
      <c r="CE21" s="340">
        <f t="shared" si="57"/>
        <v>0.3550765173996906</v>
      </c>
      <c r="CF21" s="92">
        <f t="shared" si="27"/>
        <v>119.89287463953451</v>
      </c>
      <c r="CG21" s="360">
        <f t="shared" si="28"/>
        <v>233.053104050931</v>
      </c>
      <c r="CH21" s="92">
        <f t="shared" si="29"/>
        <v>431.61434870232426</v>
      </c>
    </row>
    <row r="22" spans="1:86" ht="15.75">
      <c r="A22" s="323">
        <f t="shared" si="48"/>
        <v>9.803848350205367</v>
      </c>
      <c r="B22">
        <f t="shared" si="39"/>
        <v>914.4000000000001</v>
      </c>
      <c r="C22" s="384">
        <v>3000</v>
      </c>
      <c r="D22" s="325">
        <f t="shared" si="5"/>
        <v>907.6145781410379</v>
      </c>
      <c r="E22" s="326">
        <f t="shared" si="6"/>
        <v>914.4074701002413</v>
      </c>
      <c r="F22" s="327">
        <f t="shared" si="49"/>
        <v>282.3129520682506</v>
      </c>
      <c r="G22" s="328">
        <f t="shared" si="40"/>
        <v>9.162952068250604</v>
      </c>
      <c r="H22" s="92">
        <f t="shared" si="41"/>
        <v>48.493313722851084</v>
      </c>
      <c r="I22">
        <f t="shared" si="42"/>
        <v>1.1283372551262234</v>
      </c>
      <c r="J22">
        <f t="shared" si="50"/>
        <v>921.1088891114892</v>
      </c>
      <c r="K22" s="329">
        <f t="shared" si="7"/>
        <v>208.38886484290927</v>
      </c>
      <c r="L22" s="329">
        <f t="shared" si="7"/>
        <v>312.5832972643639</v>
      </c>
      <c r="M22" s="329">
        <f t="shared" si="7"/>
        <v>333.42218374865485</v>
      </c>
      <c r="N22" s="329">
        <f t="shared" si="7"/>
        <v>354.26107023294577</v>
      </c>
      <c r="O22" s="329">
        <f t="shared" si="7"/>
        <v>1041.9443242145464</v>
      </c>
      <c r="P22" s="329">
        <f t="shared" si="7"/>
        <v>395.9388432015276</v>
      </c>
      <c r="Q22" s="329">
        <f t="shared" si="7"/>
        <v>416.77772968581854</v>
      </c>
      <c r="R22" s="329">
        <f t="shared" si="7"/>
        <v>437.61661617010947</v>
      </c>
      <c r="S22" s="329">
        <f t="shared" si="7"/>
        <v>458.4555026544004</v>
      </c>
      <c r="T22" s="329">
        <f t="shared" si="7"/>
        <v>479.2943891386913</v>
      </c>
      <c r="U22" s="329">
        <f t="shared" si="7"/>
        <v>500.1332756229823</v>
      </c>
      <c r="V22" s="329">
        <f t="shared" si="7"/>
        <v>520.9721621072732</v>
      </c>
      <c r="W22" s="329">
        <f t="shared" si="7"/>
        <v>625.1665945287278</v>
      </c>
      <c r="X22" s="330">
        <f t="shared" si="51"/>
        <v>27.002515787667974</v>
      </c>
      <c r="Y22" s="331">
        <f t="shared" si="43"/>
        <v>685.8639010067665</v>
      </c>
      <c r="Z22" s="286">
        <f t="shared" si="8"/>
        <v>914.3683414574003</v>
      </c>
      <c r="AA22" s="332">
        <f t="shared" si="52"/>
        <v>875.7082667222943</v>
      </c>
      <c r="AB22" s="333">
        <f t="shared" si="53"/>
        <v>257.3129520682506</v>
      </c>
      <c r="AC22" s="334">
        <f t="shared" si="15"/>
        <v>-15.837047931749396</v>
      </c>
      <c r="AD22" s="335">
        <f t="shared" si="9"/>
        <v>29.658523372943993</v>
      </c>
      <c r="AE22" s="336">
        <f t="shared" si="10"/>
        <v>196.5654562292287</v>
      </c>
      <c r="AF22" s="336">
        <f t="shared" si="10"/>
        <v>262.08727497230495</v>
      </c>
      <c r="AG22" s="336">
        <f t="shared" si="10"/>
        <v>327.60909371538116</v>
      </c>
      <c r="AH22" s="336">
        <f t="shared" si="10"/>
        <v>393.1309124584574</v>
      </c>
      <c r="AI22" s="336">
        <f t="shared" si="10"/>
        <v>458.6527312015336</v>
      </c>
      <c r="AJ22" s="336">
        <f t="shared" si="10"/>
        <v>524.1745499446099</v>
      </c>
      <c r="AK22" s="336">
        <f t="shared" si="10"/>
        <v>589.6963686876861</v>
      </c>
      <c r="AL22" s="336">
        <f t="shared" si="10"/>
        <v>655.2181874307623</v>
      </c>
      <c r="AM22" s="336">
        <f t="shared" si="10"/>
        <v>786.2618249169147</v>
      </c>
      <c r="AN22">
        <f t="shared" si="30"/>
        <v>337.0733564227144</v>
      </c>
      <c r="AO22">
        <f t="shared" si="16"/>
        <v>1213.4640831217719</v>
      </c>
      <c r="AP22">
        <f t="shared" si="17"/>
        <v>655.2181874307623</v>
      </c>
      <c r="AQ22" s="176">
        <f t="shared" si="31"/>
        <v>66353.02291785716</v>
      </c>
      <c r="AR22">
        <f t="shared" si="32"/>
        <v>1105.8837152976193</v>
      </c>
      <c r="AS22" s="337">
        <f t="shared" si="33"/>
        <v>282.33</v>
      </c>
      <c r="AT22" s="337">
        <f t="shared" si="18"/>
        <v>9.180000000000007</v>
      </c>
      <c r="AU22" s="280"/>
      <c r="AV22" s="281">
        <f t="shared" si="54"/>
        <v>36000</v>
      </c>
      <c r="AW22" s="361"/>
      <c r="AX22" s="64">
        <f t="shared" si="4"/>
        <v>3000</v>
      </c>
      <c r="AZ22" s="280">
        <f t="shared" si="55"/>
        <v>0.9144000000000001</v>
      </c>
      <c r="BA22" s="280">
        <f t="shared" si="44"/>
        <v>282.2064</v>
      </c>
      <c r="BB22" s="280">
        <f t="shared" si="34"/>
        <v>0.0831255195344971</v>
      </c>
      <c r="BC22">
        <f t="shared" si="35"/>
        <v>0.9793732431025507</v>
      </c>
      <c r="BD22">
        <f t="shared" si="11"/>
        <v>908.0283588414793</v>
      </c>
      <c r="BE22">
        <f t="shared" si="12"/>
        <v>0.8961543141786127</v>
      </c>
      <c r="BF22">
        <f t="shared" si="36"/>
        <v>337.0733564227144</v>
      </c>
      <c r="BG22">
        <f t="shared" si="56"/>
        <v>0.9898196921500776</v>
      </c>
      <c r="BH22">
        <f t="shared" si="37"/>
        <v>1.1283372551262234</v>
      </c>
      <c r="BI22">
        <f t="shared" si="19"/>
        <v>0.9211088891114892</v>
      </c>
      <c r="BJ22">
        <f t="shared" si="45"/>
        <v>0.9597441789932821</v>
      </c>
      <c r="BM22" s="64">
        <f t="shared" si="38"/>
        <v>0.9144000000000001</v>
      </c>
      <c r="BN22">
        <f t="shared" si="13"/>
        <v>-40.856</v>
      </c>
      <c r="BO22" s="385">
        <f t="shared" si="13"/>
        <v>-20.659999999999997</v>
      </c>
      <c r="BP22" s="44">
        <f t="shared" si="13"/>
        <v>-1.4145484800000077</v>
      </c>
      <c r="BQ22" s="44">
        <f t="shared" si="13"/>
        <v>9.056399999999996</v>
      </c>
      <c r="BR22" s="44">
        <f t="shared" si="13"/>
        <v>16.417343396226414</v>
      </c>
      <c r="BS22" s="44">
        <f t="shared" si="13"/>
        <v>22.0796075471698</v>
      </c>
      <c r="BT22" s="44">
        <f t="shared" si="13"/>
        <v>39.06639999999999</v>
      </c>
      <c r="BV22" s="338">
        <f t="shared" si="46"/>
        <v>1.2130240327299202</v>
      </c>
      <c r="BW22" s="92">
        <f t="shared" si="20"/>
        <v>53.60224690125944</v>
      </c>
      <c r="BX22" s="339">
        <f t="shared" si="21"/>
        <v>104.19443242145464</v>
      </c>
      <c r="BY22" s="92">
        <f t="shared" si="22"/>
        <v>208.38886484290927</v>
      </c>
      <c r="BZ22" s="92">
        <f t="shared" si="23"/>
        <v>925.4546673896998</v>
      </c>
      <c r="CA22" s="92">
        <f t="shared" si="24"/>
        <v>17.42630854822052</v>
      </c>
      <c r="CB22" s="340">
        <f t="shared" si="25"/>
        <v>0.15902249726922452</v>
      </c>
      <c r="CC22">
        <f t="shared" si="26"/>
        <v>1013</v>
      </c>
      <c r="CD22" s="92">
        <f t="shared" si="47"/>
        <v>104.9716411585207</v>
      </c>
      <c r="CE22" s="340">
        <f t="shared" si="57"/>
        <v>0.3883022508856611</v>
      </c>
      <c r="CF22" s="92">
        <f t="shared" si="27"/>
        <v>130.88634301252472</v>
      </c>
      <c r="CG22" s="360">
        <f t="shared" si="28"/>
        <v>254.422697000588</v>
      </c>
      <c r="CH22" s="92">
        <f t="shared" si="29"/>
        <v>471.190834845089</v>
      </c>
    </row>
    <row r="23" spans="1:86" ht="15.75">
      <c r="A23" s="323">
        <f t="shared" si="48"/>
        <v>9.803754982556729</v>
      </c>
      <c r="B23">
        <f t="shared" si="39"/>
        <v>944.88</v>
      </c>
      <c r="C23" s="384">
        <v>3100</v>
      </c>
      <c r="D23" s="325">
        <f t="shared" si="5"/>
        <v>904.2360392816793</v>
      </c>
      <c r="E23" s="326">
        <f t="shared" si="6"/>
        <v>911.23635364904</v>
      </c>
      <c r="F23" s="327">
        <f>IF(B23&gt;B$62,$F$62,$E$3+$B23*($AA$6))</f>
        <v>282.11838380385893</v>
      </c>
      <c r="G23" s="328">
        <f t="shared" si="40"/>
        <v>8.968383803858956</v>
      </c>
      <c r="H23" s="92">
        <f t="shared" si="41"/>
        <v>48.14309084694612</v>
      </c>
      <c r="I23">
        <f t="shared" si="42"/>
        <v>1.1251997219494614</v>
      </c>
      <c r="J23">
        <f t="shared" si="50"/>
        <v>918.547589565748</v>
      </c>
      <c r="K23" s="329">
        <f t="shared" si="7"/>
        <v>208.6792007771094</v>
      </c>
      <c r="L23" s="329">
        <f t="shared" si="7"/>
        <v>313.0188011656641</v>
      </c>
      <c r="M23" s="329">
        <f t="shared" si="7"/>
        <v>333.88672124337506</v>
      </c>
      <c r="N23" s="329">
        <f t="shared" si="7"/>
        <v>354.75464132108596</v>
      </c>
      <c r="O23" s="329">
        <f t="shared" si="7"/>
        <v>1043.396003885547</v>
      </c>
      <c r="P23" s="329">
        <f t="shared" si="7"/>
        <v>396.49048147650785</v>
      </c>
      <c r="Q23" s="329">
        <f t="shared" si="7"/>
        <v>417.3584015542188</v>
      </c>
      <c r="R23" s="329">
        <f t="shared" si="7"/>
        <v>438.22632163192975</v>
      </c>
      <c r="S23" s="329">
        <f t="shared" si="7"/>
        <v>459.0942417096407</v>
      </c>
      <c r="T23" s="329">
        <f t="shared" si="7"/>
        <v>479.96216178735165</v>
      </c>
      <c r="U23" s="329">
        <f t="shared" si="7"/>
        <v>500.83008186506254</v>
      </c>
      <c r="V23" s="329">
        <f t="shared" si="7"/>
        <v>521.6980019427735</v>
      </c>
      <c r="W23" s="329">
        <f t="shared" si="7"/>
        <v>626.0376023313282</v>
      </c>
      <c r="X23" s="330">
        <f t="shared" si="51"/>
        <v>26.908872499704994</v>
      </c>
      <c r="Y23" s="331">
        <f t="shared" si="43"/>
        <v>683.4853614925069</v>
      </c>
      <c r="Z23" s="286">
        <f t="shared" si="8"/>
        <v>911.1960208027882</v>
      </c>
      <c r="AA23" s="332">
        <f t="shared" si="52"/>
        <v>872.3757496200366</v>
      </c>
      <c r="AB23" s="333">
        <f>$Y$2+F23</f>
        <v>257.11838380385893</v>
      </c>
      <c r="AC23" s="334">
        <f t="shared" si="15"/>
        <v>-16.031616196141044</v>
      </c>
      <c r="AD23" s="335">
        <f t="shared" si="9"/>
        <v>29.741507137371798</v>
      </c>
      <c r="AE23" s="336">
        <f t="shared" si="10"/>
        <v>196.49770873257646</v>
      </c>
      <c r="AF23" s="336">
        <f t="shared" si="10"/>
        <v>261.9969449767686</v>
      </c>
      <c r="AG23" s="336">
        <f t="shared" si="10"/>
        <v>327.49618122096075</v>
      </c>
      <c r="AH23" s="336">
        <f t="shared" si="10"/>
        <v>392.9954174651529</v>
      </c>
      <c r="AI23" s="336">
        <f t="shared" si="10"/>
        <v>458.494653709345</v>
      </c>
      <c r="AJ23" s="336">
        <f t="shared" si="10"/>
        <v>523.9938899535372</v>
      </c>
      <c r="AK23" s="336">
        <f t="shared" si="10"/>
        <v>589.4931261977293</v>
      </c>
      <c r="AL23" s="336">
        <f t="shared" si="10"/>
        <v>654.9923624419215</v>
      </c>
      <c r="AM23" s="336">
        <f t="shared" si="10"/>
        <v>785.9908349303058</v>
      </c>
      <c r="AN23">
        <f t="shared" si="30"/>
        <v>336.9571820117885</v>
      </c>
      <c r="AO23">
        <f t="shared" si="16"/>
        <v>1213.0458552424386</v>
      </c>
      <c r="AP23">
        <f t="shared" si="17"/>
        <v>654.9923624419215</v>
      </c>
      <c r="AQ23" s="176">
        <f t="shared" si="31"/>
        <v>66330.15393932843</v>
      </c>
      <c r="AR23">
        <f t="shared" si="32"/>
        <v>1105.502565655474</v>
      </c>
      <c r="AS23" s="337">
        <f t="shared" si="33"/>
        <v>282.13599999999997</v>
      </c>
      <c r="AT23" s="337">
        <f t="shared" si="18"/>
        <v>8.98599999999999</v>
      </c>
      <c r="AU23" s="280"/>
      <c r="AV23" s="281">
        <f t="shared" si="54"/>
        <v>36000</v>
      </c>
      <c r="AW23" s="361"/>
      <c r="AX23" s="64">
        <f t="shared" si="4"/>
        <v>3100</v>
      </c>
      <c r="AZ23" s="280">
        <f t="shared" si="55"/>
        <v>0.9448799999999999</v>
      </c>
      <c r="BA23" s="280">
        <f t="shared" si="44"/>
        <v>282.00827999999996</v>
      </c>
      <c r="BB23" s="280">
        <f t="shared" si="34"/>
        <v>0.085896370185647</v>
      </c>
      <c r="BC23">
        <f t="shared" si="35"/>
        <v>0.9786856845393024</v>
      </c>
      <c r="BD23">
        <f t="shared" si="11"/>
        <v>904.6799194939193</v>
      </c>
      <c r="BE23">
        <f t="shared" si="12"/>
        <v>0.8928496614793183</v>
      </c>
      <c r="BF23">
        <f t="shared" si="36"/>
        <v>336.9571820117885</v>
      </c>
      <c r="BG23">
        <f t="shared" si="56"/>
        <v>0.9894785446892436</v>
      </c>
      <c r="BH23">
        <f t="shared" si="37"/>
        <v>1.1251997219494614</v>
      </c>
      <c r="BI23">
        <f t="shared" si="19"/>
        <v>0.918547589565748</v>
      </c>
      <c r="BJ23">
        <f t="shared" si="45"/>
        <v>0.958408884331603</v>
      </c>
      <c r="BM23" s="64">
        <f t="shared" si="38"/>
        <v>0.9448799999999999</v>
      </c>
      <c r="BN23">
        <f t="shared" si="13"/>
        <v>-40.5512</v>
      </c>
      <c r="BO23" s="385">
        <f t="shared" si="13"/>
        <v>-20.659999999999997</v>
      </c>
      <c r="BP23" s="44">
        <f t="shared" si="13"/>
        <v>-1.59313689599999</v>
      </c>
      <c r="BQ23" s="44">
        <f t="shared" si="13"/>
        <v>8.858280000000008</v>
      </c>
      <c r="BR23" s="44">
        <f t="shared" si="13"/>
        <v>16.219223396226425</v>
      </c>
      <c r="BS23" s="44">
        <f t="shared" si="13"/>
        <v>21.88148754716981</v>
      </c>
      <c r="BT23" s="44">
        <f t="shared" si="13"/>
        <v>38.86828</v>
      </c>
      <c r="BV23" s="338">
        <f t="shared" si="46"/>
        <v>1.212605956516668</v>
      </c>
      <c r="BW23" s="92">
        <f t="shared" si="20"/>
        <v>53.67692775544536</v>
      </c>
      <c r="BX23" s="339">
        <f t="shared" si="21"/>
        <v>104.3396003885547</v>
      </c>
      <c r="BY23" s="92">
        <f t="shared" si="22"/>
        <v>208.6792007771094</v>
      </c>
      <c r="BZ23" s="92">
        <f t="shared" si="23"/>
        <v>922.1487971355683</v>
      </c>
      <c r="CA23" s="92">
        <f t="shared" si="24"/>
        <v>17.468877641648977</v>
      </c>
      <c r="CB23" s="340">
        <f t="shared" si="25"/>
        <v>0.1592989573184627</v>
      </c>
      <c r="CC23">
        <f t="shared" si="26"/>
        <v>1013</v>
      </c>
      <c r="CD23" s="92">
        <f t="shared" si="47"/>
        <v>108.32008050608067</v>
      </c>
      <c r="CE23" s="340">
        <f t="shared" si="57"/>
        <v>0.39458276303846457</v>
      </c>
      <c r="CF23" s="92">
        <f t="shared" si="27"/>
        <v>132.95749590386632</v>
      </c>
      <c r="CG23" s="360">
        <f t="shared" si="28"/>
        <v>258.44869614142476</v>
      </c>
      <c r="CH23" s="92">
        <f t="shared" si="29"/>
        <v>478.6469852539187</v>
      </c>
    </row>
    <row r="24" spans="1:86" ht="15.75">
      <c r="A24" s="323">
        <f t="shared" si="48"/>
        <v>9.803381525299766</v>
      </c>
      <c r="B24">
        <f t="shared" si="39"/>
        <v>1066.8</v>
      </c>
      <c r="C24" s="384">
        <v>3500</v>
      </c>
      <c r="D24" s="325">
        <f t="shared" si="5"/>
        <v>890.8121760395513</v>
      </c>
      <c r="E24" s="326">
        <f t="shared" si="6"/>
        <v>898.6302894255455</v>
      </c>
      <c r="F24" s="327">
        <f aca="true" t="shared" si="58" ref="F24:F61">IF(B24&gt;B$62,$F$62,$E$3+$B24*($AA$6))</f>
        <v>281.34011074629234</v>
      </c>
      <c r="G24" s="328">
        <f t="shared" si="40"/>
        <v>8.190110746292362</v>
      </c>
      <c r="H24" s="92">
        <f t="shared" si="41"/>
        <v>46.74219934332625</v>
      </c>
      <c r="I24">
        <f t="shared" si="42"/>
        <v>1.1127032708629738</v>
      </c>
      <c r="J24">
        <f t="shared" si="50"/>
        <v>908.3462139346447</v>
      </c>
      <c r="K24" s="329">
        <f t="shared" si="7"/>
        <v>209.84773716941191</v>
      </c>
      <c r="L24" s="329">
        <f t="shared" si="7"/>
        <v>314.77160575411784</v>
      </c>
      <c r="M24" s="329">
        <f t="shared" si="7"/>
        <v>335.75637947105906</v>
      </c>
      <c r="N24" s="329">
        <f t="shared" si="7"/>
        <v>356.7411531880002</v>
      </c>
      <c r="O24" s="329">
        <f t="shared" si="7"/>
        <v>1049.2386858470595</v>
      </c>
      <c r="P24" s="329">
        <f t="shared" si="7"/>
        <v>398.7107006218826</v>
      </c>
      <c r="Q24" s="329">
        <f t="shared" si="7"/>
        <v>419.69547433882383</v>
      </c>
      <c r="R24" s="329">
        <f t="shared" si="7"/>
        <v>440.680248055765</v>
      </c>
      <c r="S24" s="329">
        <f t="shared" si="7"/>
        <v>461.6650217727062</v>
      </c>
      <c r="T24" s="329">
        <f t="shared" si="7"/>
        <v>482.6497954896474</v>
      </c>
      <c r="U24" s="329">
        <f t="shared" si="7"/>
        <v>503.6345692065886</v>
      </c>
      <c r="V24" s="329">
        <f t="shared" si="7"/>
        <v>524.6193429235298</v>
      </c>
      <c r="W24" s="329">
        <f t="shared" si="7"/>
        <v>629.5432115082357</v>
      </c>
      <c r="X24" s="330">
        <f t="shared" si="51"/>
        <v>26.536614551967592</v>
      </c>
      <c r="Y24" s="331">
        <f t="shared" si="43"/>
        <v>674.0300096199768</v>
      </c>
      <c r="Z24" s="286">
        <f t="shared" si="8"/>
        <v>898.5852026629008</v>
      </c>
      <c r="AA24" s="332">
        <f t="shared" si="52"/>
        <v>859.1367158167345</v>
      </c>
      <c r="AB24" s="333">
        <f>$Y$2+F24</f>
        <v>256.34011074629234</v>
      </c>
      <c r="AC24" s="334">
        <f t="shared" si="15"/>
        <v>-16.809889253707638</v>
      </c>
      <c r="AD24" s="335">
        <f t="shared" si="9"/>
        <v>30.076671187428023</v>
      </c>
      <c r="AE24" s="336">
        <f t="shared" si="10"/>
        <v>196.22648484682938</v>
      </c>
      <c r="AF24" s="336">
        <f t="shared" si="10"/>
        <v>261.6353131291059</v>
      </c>
      <c r="AG24" s="336">
        <f t="shared" si="10"/>
        <v>327.0441414113823</v>
      </c>
      <c r="AH24" s="336">
        <f t="shared" si="10"/>
        <v>392.45296969365876</v>
      </c>
      <c r="AI24" s="336">
        <f t="shared" si="10"/>
        <v>457.86179797593525</v>
      </c>
      <c r="AJ24" s="336">
        <f t="shared" si="10"/>
        <v>523.2706262582118</v>
      </c>
      <c r="AK24" s="336">
        <f t="shared" si="10"/>
        <v>588.6794545404882</v>
      </c>
      <c r="AL24" s="336">
        <f t="shared" si="10"/>
        <v>654.0882828227647</v>
      </c>
      <c r="AM24" s="336">
        <f t="shared" si="10"/>
        <v>784.9059393873175</v>
      </c>
      <c r="AN24">
        <f t="shared" si="30"/>
        <v>336.4920832743778</v>
      </c>
      <c r="AO24">
        <f t="shared" si="16"/>
        <v>1211.3714997877603</v>
      </c>
      <c r="AP24">
        <f t="shared" si="17"/>
        <v>654.0882828227647</v>
      </c>
      <c r="AQ24" s="176">
        <f t="shared" si="31"/>
        <v>66238.59906975941</v>
      </c>
      <c r="AR24">
        <f t="shared" si="32"/>
        <v>1103.976651162657</v>
      </c>
      <c r="AS24" s="337">
        <f t="shared" si="33"/>
        <v>281.35999999999996</v>
      </c>
      <c r="AT24" s="337">
        <f t="shared" si="18"/>
        <v>8.20999999999998</v>
      </c>
      <c r="AU24" s="280"/>
      <c r="AV24" s="281">
        <f t="shared" si="54"/>
        <v>36000</v>
      </c>
      <c r="AW24" s="361"/>
      <c r="AX24" s="64">
        <f t="shared" si="4"/>
        <v>3500</v>
      </c>
      <c r="AZ24" s="280">
        <f t="shared" si="55"/>
        <v>1.0668</v>
      </c>
      <c r="BA24" s="280">
        <f t="shared" si="44"/>
        <v>281.2158</v>
      </c>
      <c r="BB24" s="280">
        <f t="shared" si="34"/>
        <v>0.09697977279024661</v>
      </c>
      <c r="BC24">
        <f t="shared" si="35"/>
        <v>0.9759354502863093</v>
      </c>
      <c r="BD24">
        <f t="shared" si="11"/>
        <v>891.3860055800967</v>
      </c>
      <c r="BE24">
        <f t="shared" si="12"/>
        <v>0.8797295885320471</v>
      </c>
      <c r="BF24">
        <f t="shared" si="36"/>
        <v>336.4920832743778</v>
      </c>
      <c r="BG24">
        <f t="shared" si="56"/>
        <v>0.9881127770297377</v>
      </c>
      <c r="BH24">
        <f t="shared" si="37"/>
        <v>1.1127032708629738</v>
      </c>
      <c r="BI24">
        <f t="shared" si="19"/>
        <v>0.9083462139346447</v>
      </c>
      <c r="BJ24">
        <f t="shared" si="45"/>
        <v>0.9530719878029386</v>
      </c>
      <c r="BM24" s="64">
        <f t="shared" si="38"/>
        <v>1.0668</v>
      </c>
      <c r="BN24">
        <f t="shared" si="13"/>
        <v>-39.332</v>
      </c>
      <c r="BO24" s="385">
        <f t="shared" si="13"/>
        <v>-20.659999999999997</v>
      </c>
      <c r="BP24" s="44">
        <f t="shared" si="13"/>
        <v>-2.307490560000005</v>
      </c>
      <c r="BQ24" s="44">
        <f t="shared" si="13"/>
        <v>8.065799999999996</v>
      </c>
      <c r="BR24" s="44">
        <f t="shared" si="13"/>
        <v>15.426743396226414</v>
      </c>
      <c r="BS24" s="44">
        <f t="shared" si="13"/>
        <v>21.0890075471698</v>
      </c>
      <c r="BT24" s="44">
        <f t="shared" si="13"/>
        <v>38.07579999999999</v>
      </c>
      <c r="BV24" s="338">
        <f t="shared" si="46"/>
        <v>1.2109322082499436</v>
      </c>
      <c r="BW24" s="92">
        <f t="shared" si="20"/>
        <v>53.977501283020956</v>
      </c>
      <c r="BX24" s="339">
        <f t="shared" si="21"/>
        <v>104.92386858470596</v>
      </c>
      <c r="BY24" s="92">
        <f t="shared" si="22"/>
        <v>209.84773716941191</v>
      </c>
      <c r="BZ24" s="92">
        <f t="shared" si="23"/>
        <v>909.026688253845</v>
      </c>
      <c r="CA24" s="92">
        <f t="shared" si="24"/>
        <v>17.640682673748287</v>
      </c>
      <c r="CB24" s="340">
        <f t="shared" si="25"/>
        <v>0.16041239591068582</v>
      </c>
      <c r="CC24">
        <f t="shared" si="26"/>
        <v>1013</v>
      </c>
      <c r="CD24" s="92">
        <f t="shared" si="47"/>
        <v>121.61399441990329</v>
      </c>
      <c r="CE24" s="340">
        <f t="shared" si="57"/>
        <v>0.4186733001026266</v>
      </c>
      <c r="CF24" s="92">
        <f t="shared" si="27"/>
        <v>140.8802509628916</v>
      </c>
      <c r="CG24" s="360">
        <f t="shared" si="28"/>
        <v>273.84929992786704</v>
      </c>
      <c r="CH24" s="92">
        <f t="shared" si="29"/>
        <v>507.1689034664098</v>
      </c>
    </row>
    <row r="25" spans="1:86" ht="16.5" thickBot="1">
      <c r="A25" s="323">
        <f t="shared" si="48"/>
        <v>9.802914733736221</v>
      </c>
      <c r="B25">
        <f t="shared" si="39"/>
        <v>1219.2</v>
      </c>
      <c r="C25" s="384">
        <v>4000</v>
      </c>
      <c r="D25" s="325">
        <f t="shared" si="5"/>
        <v>874.2343960143992</v>
      </c>
      <c r="E25" s="326">
        <f t="shared" si="6"/>
        <v>883.0482409541696</v>
      </c>
      <c r="F25" s="327">
        <f t="shared" si="58"/>
        <v>280.36726942433415</v>
      </c>
      <c r="G25" s="328">
        <f t="shared" si="40"/>
        <v>7.217269424334177</v>
      </c>
      <c r="H25" s="92">
        <f t="shared" si="41"/>
        <v>44.99108496380152</v>
      </c>
      <c r="I25">
        <f t="shared" si="42"/>
        <v>1.09720324569618</v>
      </c>
      <c r="J25">
        <f t="shared" si="50"/>
        <v>895.692895170488</v>
      </c>
      <c r="K25" s="329">
        <f t="shared" si="7"/>
        <v>211.32478266836935</v>
      </c>
      <c r="L25" s="329">
        <f t="shared" si="7"/>
        <v>316.987174002554</v>
      </c>
      <c r="M25" s="329">
        <f t="shared" si="7"/>
        <v>338.119652269391</v>
      </c>
      <c r="N25" s="329">
        <f t="shared" si="7"/>
        <v>359.2521305362279</v>
      </c>
      <c r="O25" s="329">
        <f t="shared" si="7"/>
        <v>1056.623913341847</v>
      </c>
      <c r="P25" s="329">
        <f t="shared" si="7"/>
        <v>401.5170870699018</v>
      </c>
      <c r="Q25" s="329">
        <f t="shared" si="7"/>
        <v>422.6495653367387</v>
      </c>
      <c r="R25" s="329">
        <f t="shared" si="7"/>
        <v>443.78204360357563</v>
      </c>
      <c r="S25" s="329">
        <f t="shared" si="7"/>
        <v>464.9145218704126</v>
      </c>
      <c r="T25" s="329">
        <f t="shared" si="7"/>
        <v>486.04700013724954</v>
      </c>
      <c r="U25" s="329">
        <f t="shared" si="7"/>
        <v>507.17947840408647</v>
      </c>
      <c r="V25" s="329">
        <f t="shared" si="7"/>
        <v>528.3119566709235</v>
      </c>
      <c r="W25" s="329">
        <f t="shared" si="7"/>
        <v>633.974348005108</v>
      </c>
      <c r="X25" s="330">
        <f t="shared" si="51"/>
        <v>26.076475583717023</v>
      </c>
      <c r="Y25" s="331">
        <f t="shared" si="43"/>
        <v>662.3424798264124</v>
      </c>
      <c r="Z25" s="286">
        <f t="shared" si="8"/>
        <v>882.9973522460067</v>
      </c>
      <c r="AA25" s="332">
        <f t="shared" si="52"/>
        <v>842.7916095921386</v>
      </c>
      <c r="AB25" s="333">
        <f aca="true" t="shared" si="59" ref="AB25:AB63">$Y$2+F25</f>
        <v>255.36726942433415</v>
      </c>
      <c r="AC25" s="334">
        <f t="shared" si="15"/>
        <v>-17.782730575665823</v>
      </c>
      <c r="AD25" s="335">
        <f t="shared" si="9"/>
        <v>30.503012207937015</v>
      </c>
      <c r="AE25" s="336">
        <f t="shared" si="10"/>
        <v>195.88692689427006</v>
      </c>
      <c r="AF25" s="336">
        <f t="shared" si="10"/>
        <v>261.1825691923601</v>
      </c>
      <c r="AG25" s="336">
        <f t="shared" si="10"/>
        <v>326.4782114904501</v>
      </c>
      <c r="AH25" s="336">
        <f t="shared" si="10"/>
        <v>391.7738537885401</v>
      </c>
      <c r="AI25" s="336">
        <f t="shared" si="10"/>
        <v>457.0694960866301</v>
      </c>
      <c r="AJ25" s="336">
        <f t="shared" si="10"/>
        <v>522.3651383847202</v>
      </c>
      <c r="AK25" s="336">
        <f t="shared" si="10"/>
        <v>587.6607806828102</v>
      </c>
      <c r="AL25" s="336">
        <f t="shared" si="10"/>
        <v>652.9564229809002</v>
      </c>
      <c r="AM25" s="336">
        <f t="shared" si="10"/>
        <v>783.5477075770802</v>
      </c>
      <c r="AN25">
        <f t="shared" si="30"/>
        <v>335.9098042668409</v>
      </c>
      <c r="AO25">
        <f t="shared" si="16"/>
        <v>1209.2752953606273</v>
      </c>
      <c r="AP25">
        <f t="shared" si="17"/>
        <v>652.9564229809002</v>
      </c>
      <c r="AQ25" s="176">
        <f t="shared" si="31"/>
        <v>66123.97721788206</v>
      </c>
      <c r="AR25">
        <f t="shared" si="32"/>
        <v>1102.066286964701</v>
      </c>
      <c r="AS25" s="337">
        <f t="shared" si="33"/>
        <v>280.39</v>
      </c>
      <c r="AT25" s="337">
        <f t="shared" si="18"/>
        <v>7.240000000000009</v>
      </c>
      <c r="AU25" s="280"/>
      <c r="AV25" s="281">
        <f t="shared" si="54"/>
        <v>36000</v>
      </c>
      <c r="AW25" s="361"/>
      <c r="AX25" s="64">
        <f t="shared" si="4"/>
        <v>4000</v>
      </c>
      <c r="AZ25" s="280">
        <f t="shared" si="55"/>
        <v>1.2192</v>
      </c>
      <c r="BA25" s="280">
        <f t="shared" si="44"/>
        <v>280.2252</v>
      </c>
      <c r="BB25" s="280">
        <f t="shared" si="34"/>
        <v>0.11083402604599613</v>
      </c>
      <c r="BC25">
        <f t="shared" si="35"/>
        <v>0.9724976574700677</v>
      </c>
      <c r="BD25">
        <f t="shared" si="11"/>
        <v>874.9915500710375</v>
      </c>
      <c r="BE25">
        <f t="shared" si="12"/>
        <v>0.8635495189450161</v>
      </c>
      <c r="BF25">
        <f t="shared" si="36"/>
        <v>335.9098042668409</v>
      </c>
      <c r="BG25">
        <f t="shared" si="56"/>
        <v>0.9864029081925733</v>
      </c>
      <c r="BH25">
        <f t="shared" si="37"/>
        <v>1.09720324569618</v>
      </c>
      <c r="BI25">
        <f t="shared" si="19"/>
        <v>0.8956928951704881</v>
      </c>
      <c r="BJ25">
        <f t="shared" si="45"/>
        <v>0.9464105320475297</v>
      </c>
      <c r="BM25" s="64">
        <f t="shared" si="38"/>
        <v>1.2192</v>
      </c>
      <c r="BN25">
        <f t="shared" si="13"/>
        <v>-37.808</v>
      </c>
      <c r="BO25" s="385">
        <f t="shared" si="13"/>
        <v>-20.659999999999997</v>
      </c>
      <c r="BP25" s="44">
        <f t="shared" si="13"/>
        <v>-3.2004326400000025</v>
      </c>
      <c r="BQ25" s="44">
        <f t="shared" si="13"/>
        <v>7.075199999999995</v>
      </c>
      <c r="BR25" s="44">
        <f t="shared" si="13"/>
        <v>14.436143396226413</v>
      </c>
      <c r="BS25" s="44">
        <f t="shared" si="13"/>
        <v>20.0984075471698</v>
      </c>
      <c r="BT25" s="44">
        <f t="shared" si="13"/>
        <v>37.085199999999986</v>
      </c>
      <c r="BV25" s="338">
        <f t="shared" si="46"/>
        <v>1.2088367639899986</v>
      </c>
      <c r="BW25" s="92">
        <f t="shared" si="20"/>
        <v>54.35743020858611</v>
      </c>
      <c r="BX25" s="339">
        <f t="shared" si="21"/>
        <v>105.66239133418466</v>
      </c>
      <c r="BY25" s="92">
        <f t="shared" si="22"/>
        <v>211.32478266836935</v>
      </c>
      <c r="BZ25" s="92">
        <f t="shared" si="23"/>
        <v>892.8504826523173</v>
      </c>
      <c r="CA25" s="92">
        <f t="shared" si="24"/>
        <v>17.858932581279714</v>
      </c>
      <c r="CB25" s="340">
        <f t="shared" si="25"/>
        <v>0.16182150541043902</v>
      </c>
      <c r="CC25">
        <f t="shared" si="26"/>
        <v>1013</v>
      </c>
      <c r="CD25" s="92">
        <f t="shared" si="47"/>
        <v>138.00844992896248</v>
      </c>
      <c r="CE25" s="340">
        <f t="shared" si="57"/>
        <v>0.4467746252280613</v>
      </c>
      <c r="CF25" s="92">
        <f t="shared" si="27"/>
        <v>150.07597691174928</v>
      </c>
      <c r="CG25" s="360">
        <f t="shared" si="28"/>
        <v>291.72436116754716</v>
      </c>
      <c r="CH25" s="92">
        <f t="shared" si="29"/>
        <v>540.2735168822974</v>
      </c>
    </row>
    <row r="26" spans="1:86" s="387" customFormat="1" ht="17.25" thickBot="1" thickTop="1">
      <c r="A26" s="386">
        <f t="shared" si="48"/>
        <v>9.80198125062259</v>
      </c>
      <c r="B26" s="387">
        <f t="shared" si="39"/>
        <v>1524</v>
      </c>
      <c r="C26" s="388">
        <v>5000</v>
      </c>
      <c r="D26" s="389">
        <f t="shared" si="5"/>
        <v>841.7453344612389</v>
      </c>
      <c r="E26" s="390">
        <f t="shared" si="6"/>
        <v>852.4637424309789</v>
      </c>
      <c r="F26" s="391">
        <f t="shared" si="58"/>
        <v>278.42158678041767</v>
      </c>
      <c r="G26" s="392">
        <f t="shared" si="40"/>
        <v>5.271586780417692</v>
      </c>
      <c r="H26" s="393">
        <f t="shared" si="41"/>
        <v>41.48885620475185</v>
      </c>
      <c r="I26" s="387">
        <f t="shared" si="42"/>
        <v>1.0666034347972553</v>
      </c>
      <c r="J26" s="387">
        <f t="shared" si="50"/>
        <v>870.7129898309474</v>
      </c>
      <c r="K26" s="394">
        <f t="shared" si="7"/>
        <v>214.33469825300483</v>
      </c>
      <c r="L26" s="394">
        <f t="shared" si="7"/>
        <v>321.50204737950725</v>
      </c>
      <c r="M26" s="394">
        <f t="shared" si="7"/>
        <v>342.93551720480775</v>
      </c>
      <c r="N26" s="394">
        <f t="shared" si="7"/>
        <v>364.3689870301082</v>
      </c>
      <c r="O26" s="394">
        <f t="shared" si="7"/>
        <v>1071.6734912650243</v>
      </c>
      <c r="P26" s="394">
        <f t="shared" si="7"/>
        <v>407.2359266807092</v>
      </c>
      <c r="Q26" s="394">
        <f t="shared" si="7"/>
        <v>428.66939650600966</v>
      </c>
      <c r="R26" s="394">
        <f t="shared" si="7"/>
        <v>450.10286633131017</v>
      </c>
      <c r="S26" s="394">
        <f t="shared" si="7"/>
        <v>471.5363361566106</v>
      </c>
      <c r="T26" s="394">
        <f t="shared" si="7"/>
        <v>492.9698059819111</v>
      </c>
      <c r="U26" s="394">
        <f t="shared" si="7"/>
        <v>514.4032758072116</v>
      </c>
      <c r="V26" s="394">
        <f t="shared" si="7"/>
        <v>535.8367456325121</v>
      </c>
      <c r="W26" s="394">
        <f t="shared" si="7"/>
        <v>643.0040947590145</v>
      </c>
      <c r="X26" s="330">
        <f t="shared" si="51"/>
        <v>25.173313228602154</v>
      </c>
      <c r="Y26" s="395">
        <f t="shared" si="43"/>
        <v>639.4021560064947</v>
      </c>
      <c r="Z26" s="396">
        <f t="shared" si="8"/>
        <v>852.4017112512755</v>
      </c>
      <c r="AA26" s="397">
        <f t="shared" si="52"/>
        <v>810.7731417254307</v>
      </c>
      <c r="AB26" s="387">
        <f t="shared" si="59"/>
        <v>253.42158678041767</v>
      </c>
      <c r="AC26" s="398">
        <f t="shared" si="15"/>
        <v>-19.728413219582308</v>
      </c>
      <c r="AD26" s="399">
        <f t="shared" si="9"/>
        <v>31.381102106161556</v>
      </c>
      <c r="AE26" s="400">
        <f t="shared" si="10"/>
        <v>195.20603902942491</v>
      </c>
      <c r="AF26" s="400">
        <f t="shared" si="10"/>
        <v>260.2747187058999</v>
      </c>
      <c r="AG26" s="400">
        <f t="shared" si="10"/>
        <v>325.34339838237486</v>
      </c>
      <c r="AH26" s="400">
        <f t="shared" si="10"/>
        <v>390.41207805884983</v>
      </c>
      <c r="AI26" s="400">
        <f t="shared" si="10"/>
        <v>455.48075773532474</v>
      </c>
      <c r="AJ26" s="400">
        <f t="shared" si="10"/>
        <v>520.5494374117998</v>
      </c>
      <c r="AK26" s="400">
        <f t="shared" si="10"/>
        <v>585.6181170882747</v>
      </c>
      <c r="AL26" s="400">
        <f t="shared" si="10"/>
        <v>650.6867967647497</v>
      </c>
      <c r="AM26" s="400">
        <f t="shared" si="10"/>
        <v>780.8241561176997</v>
      </c>
      <c r="AN26" s="387">
        <f t="shared" si="30"/>
        <v>334.74220766897685</v>
      </c>
      <c r="AO26" s="387">
        <f t="shared" si="16"/>
        <v>1205.0719476083166</v>
      </c>
      <c r="AP26" s="387">
        <f t="shared" si="17"/>
        <v>650.6867967647497</v>
      </c>
      <c r="AQ26" s="401">
        <f t="shared" si="31"/>
        <v>65894.13536790882</v>
      </c>
      <c r="AR26" s="387">
        <f t="shared" si="32"/>
        <v>1098.235589465147</v>
      </c>
      <c r="AS26" s="402">
        <f t="shared" si="33"/>
        <v>278.45</v>
      </c>
      <c r="AT26" s="402">
        <f t="shared" si="18"/>
        <v>5.300000000000011</v>
      </c>
      <c r="AU26" s="403"/>
      <c r="AV26" s="404">
        <f t="shared" si="54"/>
        <v>36000</v>
      </c>
      <c r="AW26" s="405">
        <f aca="true" t="shared" si="60" ref="AW26:AW45">AX26/100</f>
        <v>50</v>
      </c>
      <c r="AX26" s="406">
        <f t="shared" si="4"/>
        <v>5000</v>
      </c>
      <c r="AY26" s="407"/>
      <c r="AZ26" s="403">
        <f t="shared" si="55"/>
        <v>1.524</v>
      </c>
      <c r="BA26" s="403">
        <f t="shared" si="44"/>
        <v>278.24399999999997</v>
      </c>
      <c r="BB26" s="403">
        <f t="shared" si="34"/>
        <v>0.13854253255749516</v>
      </c>
      <c r="BC26" s="387">
        <f t="shared" si="35"/>
        <v>0.9656220718375845</v>
      </c>
      <c r="BD26" s="387">
        <f t="shared" si="11"/>
        <v>842.9350120200895</v>
      </c>
      <c r="BE26" s="387">
        <f t="shared" si="12"/>
        <v>0.8319121756921682</v>
      </c>
      <c r="BF26" s="387">
        <f t="shared" si="36"/>
        <v>334.74220766897685</v>
      </c>
      <c r="BG26" s="387">
        <f t="shared" si="56"/>
        <v>0.9829742476857963</v>
      </c>
      <c r="BH26" s="387">
        <f t="shared" si="37"/>
        <v>1.0666034347972553</v>
      </c>
      <c r="BI26" s="387">
        <f t="shared" si="19"/>
        <v>0.8707129898309475</v>
      </c>
      <c r="BJ26" s="387">
        <f t="shared" si="45"/>
        <v>0.933120029701939</v>
      </c>
      <c r="BK26" s="407"/>
      <c r="BL26" s="408"/>
      <c r="BM26" s="406">
        <f t="shared" si="38"/>
        <v>1.524</v>
      </c>
      <c r="BN26" s="387">
        <f t="shared" si="13"/>
        <v>-35</v>
      </c>
      <c r="BO26" s="409">
        <f t="shared" si="13"/>
        <v>-20.659999999999997</v>
      </c>
      <c r="BP26" s="410">
        <f t="shared" si="13"/>
        <v>-4.9863168000000115</v>
      </c>
      <c r="BQ26" s="410">
        <f t="shared" si="13"/>
        <v>5.093999999999994</v>
      </c>
      <c r="BR26" s="410">
        <f t="shared" si="13"/>
        <v>12.454943396226412</v>
      </c>
      <c r="BS26" s="410">
        <f t="shared" si="13"/>
        <v>18.117207547169812</v>
      </c>
      <c r="BT26" s="410">
        <f t="shared" si="13"/>
        <v>35.103999999999985</v>
      </c>
      <c r="BU26" s="408"/>
      <c r="BV26" s="411">
        <f t="shared" si="46"/>
        <v>1.2046349405389434</v>
      </c>
      <c r="BW26" s="393">
        <f t="shared" si="20"/>
        <v>55.131647383967355</v>
      </c>
      <c r="BX26" s="412">
        <f t="shared" si="21"/>
        <v>107.16734912650242</v>
      </c>
      <c r="BY26" s="393">
        <f t="shared" si="22"/>
        <v>214.33469825300483</v>
      </c>
      <c r="BZ26" s="393">
        <f t="shared" si="23"/>
        <v>861.2424427547916</v>
      </c>
      <c r="CA26" s="393">
        <f t="shared" si="24"/>
        <v>18.307430734702</v>
      </c>
      <c r="CB26" s="413">
        <f t="shared" si="25"/>
        <v>0.16469882232026886</v>
      </c>
      <c r="CC26" s="387">
        <f t="shared" si="26"/>
        <v>1013</v>
      </c>
      <c r="CD26" s="393">
        <f t="shared" si="47"/>
        <v>170.06498797991048</v>
      </c>
      <c r="CE26" s="413">
        <f t="shared" si="57"/>
        <v>0.4976858810865795</v>
      </c>
      <c r="CF26" s="393">
        <f t="shared" si="27"/>
        <v>166.59647056060152</v>
      </c>
      <c r="CG26" s="414">
        <f t="shared" si="28"/>
        <v>323.8376317592686</v>
      </c>
      <c r="CH26" s="393">
        <f t="shared" si="29"/>
        <v>599.7472940181655</v>
      </c>
    </row>
    <row r="27" spans="1:86" ht="16.5" thickTop="1">
      <c r="A27" s="323">
        <f t="shared" si="48"/>
        <v>9.801047900839093</v>
      </c>
      <c r="B27">
        <f t="shared" si="39"/>
        <v>1828.8000000000002</v>
      </c>
      <c r="C27" s="384">
        <v>6000</v>
      </c>
      <c r="D27" s="325">
        <f t="shared" si="5"/>
        <v>810.1327151668821</v>
      </c>
      <c r="E27" s="326">
        <f t="shared" si="6"/>
        <v>822.6424137192851</v>
      </c>
      <c r="F27" s="327">
        <f t="shared" si="58"/>
        <v>276.4759041365012</v>
      </c>
      <c r="G27" s="328">
        <f t="shared" si="40"/>
        <v>3.325904136501208</v>
      </c>
      <c r="H27" s="92">
        <f t="shared" si="41"/>
        <v>37.986627445702176</v>
      </c>
      <c r="I27">
        <f t="shared" si="42"/>
        <v>1.036534533906201</v>
      </c>
      <c r="J27">
        <f t="shared" si="50"/>
        <v>846.1664885338118</v>
      </c>
      <c r="K27" s="329">
        <f t="shared" si="7"/>
        <v>217.42129836269848</v>
      </c>
      <c r="L27" s="329">
        <f t="shared" si="7"/>
        <v>326.1319475440477</v>
      </c>
      <c r="M27" s="329">
        <f t="shared" si="7"/>
        <v>347.87407738031754</v>
      </c>
      <c r="N27" s="329">
        <f t="shared" si="7"/>
        <v>369.6162072165874</v>
      </c>
      <c r="O27" s="329">
        <f t="shared" si="7"/>
        <v>1087.1064918134923</v>
      </c>
      <c r="P27" s="329">
        <f t="shared" si="7"/>
        <v>413.10046688912706</v>
      </c>
      <c r="Q27" s="329">
        <f t="shared" si="7"/>
        <v>434.84259672539696</v>
      </c>
      <c r="R27" s="329">
        <f t="shared" si="7"/>
        <v>456.5847265616668</v>
      </c>
      <c r="S27" s="329">
        <f t="shared" si="7"/>
        <v>478.32685639793664</v>
      </c>
      <c r="T27" s="329">
        <f t="shared" si="7"/>
        <v>500.0689862342065</v>
      </c>
      <c r="U27" s="329">
        <f t="shared" si="7"/>
        <v>521.8111160704764</v>
      </c>
      <c r="V27" s="329">
        <f t="shared" si="7"/>
        <v>543.5532459067462</v>
      </c>
      <c r="W27" s="329">
        <f t="shared" si="7"/>
        <v>652.2638950880954</v>
      </c>
      <c r="X27" s="330">
        <f t="shared" si="51"/>
        <v>24.29268733076421</v>
      </c>
      <c r="Y27" s="331">
        <f t="shared" si="43"/>
        <v>617.0342582014109</v>
      </c>
      <c r="Z27" s="286">
        <f t="shared" si="8"/>
        <v>822.5698435139117</v>
      </c>
      <c r="AA27" s="332">
        <f t="shared" si="52"/>
        <v>779.6377442038763</v>
      </c>
      <c r="AB27" s="333">
        <f t="shared" si="59"/>
        <v>251.47590413650119</v>
      </c>
      <c r="AC27" s="334">
        <f t="shared" si="15"/>
        <v>-21.674095863498792</v>
      </c>
      <c r="AD27" s="335">
        <f t="shared" si="9"/>
        <v>32.294513734979446</v>
      </c>
      <c r="AE27" s="336">
        <f t="shared" si="10"/>
        <v>194.52276786801502</v>
      </c>
      <c r="AF27" s="336">
        <f t="shared" si="10"/>
        <v>259.36369049068674</v>
      </c>
      <c r="AG27" s="336">
        <f t="shared" si="10"/>
        <v>324.2046131133584</v>
      </c>
      <c r="AH27" s="336">
        <f t="shared" si="10"/>
        <v>389.04553573603005</v>
      </c>
      <c r="AI27" s="336">
        <f t="shared" si="10"/>
        <v>453.8864583587017</v>
      </c>
      <c r="AJ27" s="336">
        <f t="shared" si="10"/>
        <v>518.7273809813735</v>
      </c>
      <c r="AK27" s="336">
        <f t="shared" si="10"/>
        <v>583.5683036040451</v>
      </c>
      <c r="AL27" s="336">
        <f t="shared" si="10"/>
        <v>648.4092262267168</v>
      </c>
      <c r="AM27" s="336">
        <f t="shared" si="10"/>
        <v>778.0910714720601</v>
      </c>
      <c r="AN27">
        <f t="shared" si="30"/>
        <v>333.5705241588554</v>
      </c>
      <c r="AO27">
        <f t="shared" si="16"/>
        <v>1200.8538869718795</v>
      </c>
      <c r="AP27">
        <f t="shared" si="17"/>
        <v>648.4092262267168</v>
      </c>
      <c r="AQ27" s="176">
        <f t="shared" si="31"/>
        <v>65663.48900764869</v>
      </c>
      <c r="AR27">
        <f t="shared" si="32"/>
        <v>1094.3914834608115</v>
      </c>
      <c r="AS27" s="337">
        <f t="shared" si="33"/>
        <v>276.51</v>
      </c>
      <c r="AT27" s="337">
        <f t="shared" si="18"/>
        <v>3.3600000000000136</v>
      </c>
      <c r="AU27" s="280"/>
      <c r="AV27" s="281">
        <f t="shared" si="54"/>
        <v>36000</v>
      </c>
      <c r="AW27" s="361">
        <f t="shared" si="60"/>
        <v>60</v>
      </c>
      <c r="AX27" s="64">
        <f t="shared" si="4"/>
        <v>6000</v>
      </c>
      <c r="AZ27" s="280">
        <f t="shared" si="55"/>
        <v>1.8288000000000002</v>
      </c>
      <c r="BA27" s="280">
        <f t="shared" si="44"/>
        <v>276.26279999999997</v>
      </c>
      <c r="BB27" s="280">
        <f t="shared" si="34"/>
        <v>0.1662510390689942</v>
      </c>
      <c r="BC27">
        <f t="shared" si="35"/>
        <v>0.9587464862051015</v>
      </c>
      <c r="BD27">
        <f t="shared" si="11"/>
        <v>811.8363291755852</v>
      </c>
      <c r="BE27">
        <f t="shared" si="12"/>
        <v>0.8012201620287048</v>
      </c>
      <c r="BF27">
        <f t="shared" si="36"/>
        <v>333.5705241588554</v>
      </c>
      <c r="BG27">
        <f t="shared" si="56"/>
        <v>0.9795335859153319</v>
      </c>
      <c r="BH27">
        <f t="shared" si="37"/>
        <v>1.036534533906201</v>
      </c>
      <c r="BI27">
        <f t="shared" si="19"/>
        <v>0.8461664885338117</v>
      </c>
      <c r="BJ27">
        <f t="shared" si="45"/>
        <v>0.9198730828401338</v>
      </c>
      <c r="BM27" s="64">
        <f t="shared" si="38"/>
        <v>1.8288000000000002</v>
      </c>
      <c r="BN27">
        <f aca="true" t="shared" si="61" ref="BN27:BT42">IF($BM27&gt;BN$8,IF($BM27&gt;BN$5,BN$4,BN$4+BN$6*(BN$5-$BM27)),IF($BM27&gt;BN$1,BN$4+BN$6*(BN$5-BN$8),BN$4+BN$6*(BN$5-BN$8)+BN$2*($BM27-BN$1)))</f>
        <v>-35</v>
      </c>
      <c r="BO27" s="385">
        <f t="shared" si="61"/>
        <v>-20.659999999999997</v>
      </c>
      <c r="BP27" s="44">
        <f t="shared" si="61"/>
        <v>-6.772200960000006</v>
      </c>
      <c r="BQ27" s="44">
        <f t="shared" si="61"/>
        <v>3.112799999999993</v>
      </c>
      <c r="BR27" s="44">
        <f t="shared" si="61"/>
        <v>10.47374339622641</v>
      </c>
      <c r="BS27" s="44">
        <f t="shared" si="61"/>
        <v>16.13600754716981</v>
      </c>
      <c r="BT27" s="44">
        <f t="shared" si="61"/>
        <v>33.122799999999984</v>
      </c>
      <c r="BV27" s="338">
        <f t="shared" si="46"/>
        <v>1.2004184095392392</v>
      </c>
      <c r="BW27" s="92">
        <f t="shared" si="20"/>
        <v>55.92558952329412</v>
      </c>
      <c r="BX27" s="339">
        <f t="shared" si="21"/>
        <v>108.71064918134925</v>
      </c>
      <c r="BY27" s="92">
        <f t="shared" si="22"/>
        <v>217.42129836269848</v>
      </c>
      <c r="BZ27" s="92">
        <f t="shared" si="23"/>
        <v>830.608901794842</v>
      </c>
      <c r="CA27" s="92">
        <f t="shared" si="24"/>
        <v>18.77257261925685</v>
      </c>
      <c r="CB27" s="340">
        <f t="shared" si="25"/>
        <v>0.1676574681300702</v>
      </c>
      <c r="CC27">
        <f t="shared" si="26"/>
        <v>1013</v>
      </c>
      <c r="CD27" s="92">
        <f t="shared" si="47"/>
        <v>201.1636708244148</v>
      </c>
      <c r="CE27" s="340">
        <f t="shared" si="57"/>
        <v>0.543182098587836</v>
      </c>
      <c r="CF27" s="92">
        <f t="shared" si="27"/>
        <v>181.1895373396515</v>
      </c>
      <c r="CG27" s="360">
        <f t="shared" si="28"/>
        <v>352.20428424554285</v>
      </c>
      <c r="CH27" s="92">
        <f t="shared" si="29"/>
        <v>652.2823344227454</v>
      </c>
    </row>
    <row r="28" spans="1:86" ht="15.75">
      <c r="A28" s="323">
        <f t="shared" si="48"/>
        <v>9.800114684360327</v>
      </c>
      <c r="B28">
        <f t="shared" si="39"/>
        <v>2133.6</v>
      </c>
      <c r="C28" s="384">
        <v>7000</v>
      </c>
      <c r="D28" s="325">
        <f t="shared" si="5"/>
        <v>779.3819514389012</v>
      </c>
      <c r="E28" s="326">
        <f t="shared" si="6"/>
        <v>793.5727511261075</v>
      </c>
      <c r="F28" s="327">
        <f t="shared" si="58"/>
        <v>274.53022149258476</v>
      </c>
      <c r="G28" s="328">
        <f t="shared" si="40"/>
        <v>1.3802214925847807</v>
      </c>
      <c r="H28" s="92">
        <f t="shared" si="41"/>
        <v>34.484398686652604</v>
      </c>
      <c r="I28">
        <f t="shared" si="42"/>
        <v>1.0069932337521579</v>
      </c>
      <c r="J28">
        <f t="shared" si="50"/>
        <v>822.0506897828825</v>
      </c>
      <c r="K28" s="329">
        <f t="shared" si="7"/>
        <v>220.5873973586846</v>
      </c>
      <c r="L28" s="329">
        <f t="shared" si="7"/>
        <v>330.8810960380269</v>
      </c>
      <c r="M28" s="329">
        <f t="shared" si="7"/>
        <v>352.93983577389537</v>
      </c>
      <c r="N28" s="329">
        <f t="shared" si="7"/>
        <v>374.9985755097638</v>
      </c>
      <c r="O28" s="329">
        <f t="shared" si="7"/>
        <v>1102.9369867934229</v>
      </c>
      <c r="P28" s="329">
        <f t="shared" si="7"/>
        <v>419.1160549815007</v>
      </c>
      <c r="Q28" s="329">
        <f t="shared" si="7"/>
        <v>441.1747947173692</v>
      </c>
      <c r="R28" s="329">
        <f t="shared" si="7"/>
        <v>463.23353445323767</v>
      </c>
      <c r="S28" s="329">
        <f t="shared" si="7"/>
        <v>485.2922741891061</v>
      </c>
      <c r="T28" s="329">
        <f t="shared" si="7"/>
        <v>507.35101392497455</v>
      </c>
      <c r="U28" s="329">
        <f t="shared" si="7"/>
        <v>529.409753660843</v>
      </c>
      <c r="V28" s="329">
        <f t="shared" si="7"/>
        <v>551.4684933967114</v>
      </c>
      <c r="W28" s="329">
        <f t="shared" si="7"/>
        <v>661.7621920760538</v>
      </c>
      <c r="X28" s="330">
        <f t="shared" si="51"/>
        <v>23.43425818535444</v>
      </c>
      <c r="Y28" s="331">
        <f t="shared" si="43"/>
        <v>595.2301579080028</v>
      </c>
      <c r="Z28" s="286">
        <f t="shared" si="8"/>
        <v>793.4902312875511</v>
      </c>
      <c r="AA28" s="332">
        <f t="shared" si="52"/>
        <v>749.3703943142333</v>
      </c>
      <c r="AB28" s="333">
        <f t="shared" si="59"/>
        <v>249.53022149258476</v>
      </c>
      <c r="AC28" s="334">
        <f t="shared" si="15"/>
        <v>-23.61977850741522</v>
      </c>
      <c r="AD28" s="335">
        <f t="shared" si="9"/>
        <v>33.245075755767544</v>
      </c>
      <c r="AE28" s="336">
        <f t="shared" si="10"/>
        <v>193.83708820684947</v>
      </c>
      <c r="AF28" s="336">
        <f t="shared" si="10"/>
        <v>258.44945094246594</v>
      </c>
      <c r="AG28" s="336">
        <f t="shared" si="10"/>
        <v>323.06181367808244</v>
      </c>
      <c r="AH28" s="336">
        <f t="shared" si="10"/>
        <v>387.67417641369894</v>
      </c>
      <c r="AI28" s="336">
        <f t="shared" si="10"/>
        <v>452.2865391493154</v>
      </c>
      <c r="AJ28" s="336">
        <f t="shared" si="10"/>
        <v>516.8989018849319</v>
      </c>
      <c r="AK28" s="336">
        <f t="shared" si="10"/>
        <v>581.5112646205484</v>
      </c>
      <c r="AL28" s="336">
        <f t="shared" si="10"/>
        <v>646.1236273561649</v>
      </c>
      <c r="AM28" s="336">
        <f t="shared" si="10"/>
        <v>775.3483528273979</v>
      </c>
      <c r="AN28">
        <f t="shared" si="30"/>
        <v>332.39471051767146</v>
      </c>
      <c r="AO28">
        <f t="shared" si="16"/>
        <v>1196.6209578636174</v>
      </c>
      <c r="AP28">
        <f t="shared" si="17"/>
        <v>646.1236273561649</v>
      </c>
      <c r="AQ28" s="176">
        <f t="shared" si="31"/>
        <v>65432.029629462886</v>
      </c>
      <c r="AR28">
        <f t="shared" si="32"/>
        <v>1090.5338271577148</v>
      </c>
      <c r="AS28" s="337">
        <f t="shared" si="33"/>
        <v>274.57</v>
      </c>
      <c r="AT28" s="337">
        <f t="shared" si="18"/>
        <v>1.420000000000016</v>
      </c>
      <c r="AU28" s="280"/>
      <c r="AV28" s="281">
        <f t="shared" si="54"/>
        <v>36000</v>
      </c>
      <c r="AW28" s="361">
        <f t="shared" si="60"/>
        <v>70</v>
      </c>
      <c r="AX28" s="64">
        <f t="shared" si="4"/>
        <v>7000</v>
      </c>
      <c r="AZ28" s="280">
        <f t="shared" si="55"/>
        <v>2.1336</v>
      </c>
      <c r="BA28" s="280">
        <f t="shared" si="44"/>
        <v>274.28159999999997</v>
      </c>
      <c r="BB28" s="280">
        <f t="shared" si="34"/>
        <v>0.19395954558049322</v>
      </c>
      <c r="BC28">
        <f t="shared" si="35"/>
        <v>0.9518709005726184</v>
      </c>
      <c r="BD28">
        <f t="shared" si="11"/>
        <v>781.6734438822795</v>
      </c>
      <c r="BE28">
        <f t="shared" si="12"/>
        <v>0.7714517087414552</v>
      </c>
      <c r="BF28">
        <f t="shared" si="36"/>
        <v>332.39471051767146</v>
      </c>
      <c r="BG28">
        <f t="shared" si="56"/>
        <v>0.9760807959686741</v>
      </c>
      <c r="BH28">
        <f t="shared" si="37"/>
        <v>1.0069932337521579</v>
      </c>
      <c r="BI28">
        <f t="shared" si="19"/>
        <v>0.8220506897828825</v>
      </c>
      <c r="BJ28">
        <f t="shared" si="45"/>
        <v>0.9066701107805873</v>
      </c>
      <c r="BM28" s="64">
        <f t="shared" si="38"/>
        <v>2.1336</v>
      </c>
      <c r="BN28">
        <f t="shared" si="61"/>
        <v>-35</v>
      </c>
      <c r="BO28">
        <f t="shared" si="61"/>
        <v>-21.75944192</v>
      </c>
      <c r="BP28" s="44">
        <f t="shared" si="61"/>
        <v>-8.558085119999994</v>
      </c>
      <c r="BQ28" s="44">
        <f t="shared" si="61"/>
        <v>1.131600000000006</v>
      </c>
      <c r="BR28" s="44">
        <f t="shared" si="61"/>
        <v>8.492543396226417</v>
      </c>
      <c r="BS28" s="44">
        <f t="shared" si="61"/>
        <v>14.15480754716981</v>
      </c>
      <c r="BT28" s="44">
        <f t="shared" si="61"/>
        <v>31.141599999999997</v>
      </c>
      <c r="BV28" s="338">
        <f t="shared" si="46"/>
        <v>1.1961870154596101</v>
      </c>
      <c r="BW28" s="92">
        <f t="shared" si="20"/>
        <v>56.73998054281721</v>
      </c>
      <c r="BX28" s="339">
        <f t="shared" si="21"/>
        <v>110.2936986793423</v>
      </c>
      <c r="BY28" s="92">
        <f t="shared" si="22"/>
        <v>220.5873973586846</v>
      </c>
      <c r="BZ28" s="92">
        <f t="shared" si="23"/>
        <v>800.928618138032</v>
      </c>
      <c r="CA28" s="92">
        <f t="shared" si="24"/>
        <v>19.255174255752493</v>
      </c>
      <c r="CB28" s="340">
        <f t="shared" si="25"/>
        <v>0.17070061209593368</v>
      </c>
      <c r="CC28">
        <f t="shared" si="26"/>
        <v>1013</v>
      </c>
      <c r="CD28" s="92">
        <f t="shared" si="47"/>
        <v>231.32655611772054</v>
      </c>
      <c r="CE28" s="340">
        <f t="shared" si="57"/>
        <v>0.5845436971255086</v>
      </c>
      <c r="CF28" s="92">
        <f t="shared" si="27"/>
        <v>194.29923299096285</v>
      </c>
      <c r="CG28" s="360">
        <f t="shared" si="28"/>
        <v>377.687493934917</v>
      </c>
      <c r="CH28" s="92">
        <f t="shared" si="29"/>
        <v>699.4772387674662</v>
      </c>
    </row>
    <row r="29" spans="1:86" ht="15.75">
      <c r="A29" s="323">
        <f t="shared" si="48"/>
        <v>9.799181601160914</v>
      </c>
      <c r="B29">
        <f t="shared" si="39"/>
        <v>2438.4</v>
      </c>
      <c r="C29" s="384">
        <v>8000</v>
      </c>
      <c r="D29" s="325">
        <f t="shared" si="5"/>
        <v>749.4785484741338</v>
      </c>
      <c r="E29" s="326">
        <f t="shared" si="6"/>
        <v>765.2433083765206</v>
      </c>
      <c r="F29" s="327">
        <f t="shared" si="58"/>
        <v>272.5845388486683</v>
      </c>
      <c r="G29" s="328">
        <f t="shared" si="40"/>
        <v>-0.5654611513317036</v>
      </c>
      <c r="H29" s="92">
        <f t="shared" si="41"/>
        <v>30.982169927602932</v>
      </c>
      <c r="I29">
        <f t="shared" si="42"/>
        <v>0.9779762039591359</v>
      </c>
      <c r="J29">
        <f t="shared" si="50"/>
        <v>798.3628748529612</v>
      </c>
      <c r="K29" s="329">
        <f t="shared" si="7"/>
        <v>223.83594470064037</v>
      </c>
      <c r="L29" s="329">
        <f t="shared" si="7"/>
        <v>335.7539170509606</v>
      </c>
      <c r="M29" s="329">
        <f t="shared" si="7"/>
        <v>358.1375115210246</v>
      </c>
      <c r="N29" s="329">
        <f t="shared" si="7"/>
        <v>380.52110599108863</v>
      </c>
      <c r="O29" s="329">
        <f t="shared" si="7"/>
        <v>1119.1797235032018</v>
      </c>
      <c r="P29" s="329">
        <f t="shared" si="7"/>
        <v>425.28829493121674</v>
      </c>
      <c r="Q29" s="329">
        <f t="shared" si="7"/>
        <v>447.67188940128074</v>
      </c>
      <c r="R29" s="329">
        <f t="shared" si="7"/>
        <v>470.0554838713448</v>
      </c>
      <c r="S29" s="329">
        <f t="shared" si="7"/>
        <v>492.43907834140884</v>
      </c>
      <c r="T29" s="329">
        <f t="shared" si="7"/>
        <v>514.8226728114729</v>
      </c>
      <c r="U29" s="329">
        <f t="shared" si="7"/>
        <v>537.206267281537</v>
      </c>
      <c r="V29" s="329">
        <f t="shared" si="7"/>
        <v>559.5898617516009</v>
      </c>
      <c r="W29" s="329">
        <f t="shared" si="7"/>
        <v>671.5078341019212</v>
      </c>
      <c r="X29" s="330">
        <f t="shared" si="51"/>
        <v>22.597687783083234</v>
      </c>
      <c r="Y29" s="331">
        <f t="shared" si="43"/>
        <v>573.9812696903141</v>
      </c>
      <c r="Z29" s="286">
        <f t="shared" si="8"/>
        <v>765.1514143390368</v>
      </c>
      <c r="AA29" s="332">
        <f t="shared" si="52"/>
        <v>719.9561658404449</v>
      </c>
      <c r="AB29" s="333">
        <f t="shared" si="59"/>
        <v>247.58453884866827</v>
      </c>
      <c r="AC29" s="334">
        <f t="shared" si="15"/>
        <v>-25.565461151331704</v>
      </c>
      <c r="AD29" s="335">
        <f t="shared" si="9"/>
        <v>34.234732867200464</v>
      </c>
      <c r="AE29" s="336">
        <f t="shared" si="10"/>
        <v>193.1489743953775</v>
      </c>
      <c r="AF29" s="336">
        <f t="shared" si="10"/>
        <v>257.53196586050336</v>
      </c>
      <c r="AG29" s="336">
        <f t="shared" si="10"/>
        <v>321.9149573256292</v>
      </c>
      <c r="AH29" s="336">
        <f t="shared" si="10"/>
        <v>386.297948790755</v>
      </c>
      <c r="AI29" s="336">
        <f t="shared" si="10"/>
        <v>450.68094025588084</v>
      </c>
      <c r="AJ29" s="336">
        <f t="shared" si="10"/>
        <v>515.0639317210067</v>
      </c>
      <c r="AK29" s="336">
        <f t="shared" si="10"/>
        <v>579.4469231861326</v>
      </c>
      <c r="AL29" s="336">
        <f t="shared" si="10"/>
        <v>643.8299146512584</v>
      </c>
      <c r="AM29" s="336">
        <f t="shared" si="10"/>
        <v>772.59589758151</v>
      </c>
      <c r="AN29">
        <f t="shared" si="30"/>
        <v>331.21472275948065</v>
      </c>
      <c r="AO29">
        <f t="shared" si="16"/>
        <v>1192.3730019341303</v>
      </c>
      <c r="AP29">
        <f t="shared" si="17"/>
        <v>643.8299146512584</v>
      </c>
      <c r="AQ29" s="176">
        <f t="shared" si="31"/>
        <v>65199.748574700905</v>
      </c>
      <c r="AR29">
        <f t="shared" si="32"/>
        <v>1086.6624762450151</v>
      </c>
      <c r="AS29" s="337">
        <f t="shared" si="33"/>
        <v>272.63</v>
      </c>
      <c r="AT29" s="337">
        <f t="shared" si="18"/>
        <v>-0.5199999999999818</v>
      </c>
      <c r="AU29" s="280"/>
      <c r="AV29" s="281">
        <f t="shared" si="54"/>
        <v>36000</v>
      </c>
      <c r="AW29" s="361">
        <f t="shared" si="60"/>
        <v>80</v>
      </c>
      <c r="AX29" s="64">
        <f t="shared" si="4"/>
        <v>8000</v>
      </c>
      <c r="AZ29" s="280">
        <f t="shared" si="55"/>
        <v>2.4384</v>
      </c>
      <c r="BA29" s="280">
        <f t="shared" si="44"/>
        <v>272.30039999999997</v>
      </c>
      <c r="BB29" s="280">
        <f t="shared" si="34"/>
        <v>0.22166805209199225</v>
      </c>
      <c r="BC29">
        <f t="shared" si="35"/>
        <v>0.9449953149401353</v>
      </c>
      <c r="BD29">
        <f t="shared" si="11"/>
        <v>752.4246531348005</v>
      </c>
      <c r="BE29">
        <f t="shared" si="12"/>
        <v>0.7425853966294601</v>
      </c>
      <c r="BF29">
        <f t="shared" si="36"/>
        <v>331.21472275948065</v>
      </c>
      <c r="BG29">
        <f t="shared" si="56"/>
        <v>0.9726157486806039</v>
      </c>
      <c r="BH29">
        <f t="shared" si="37"/>
        <v>0.9779762039591359</v>
      </c>
      <c r="BI29">
        <f t="shared" si="19"/>
        <v>0.7983628748529612</v>
      </c>
      <c r="BJ29">
        <f t="shared" si="45"/>
        <v>0.8935115415331585</v>
      </c>
      <c r="BM29" s="64">
        <f t="shared" si="38"/>
        <v>2.4384</v>
      </c>
      <c r="BN29">
        <f t="shared" si="61"/>
        <v>-35</v>
      </c>
      <c r="BO29">
        <f t="shared" si="61"/>
        <v>-23.328308480000004</v>
      </c>
      <c r="BP29" s="44">
        <f t="shared" si="61"/>
        <v>-10.343969279999996</v>
      </c>
      <c r="BQ29" s="44">
        <f t="shared" si="61"/>
        <v>-0.8495999999999952</v>
      </c>
      <c r="BR29" s="44">
        <f t="shared" si="61"/>
        <v>6.511343396226415</v>
      </c>
      <c r="BS29" s="44">
        <f t="shared" si="61"/>
        <v>12.173607547169809</v>
      </c>
      <c r="BT29" s="44">
        <f t="shared" si="61"/>
        <v>29.160399999999996</v>
      </c>
      <c r="BV29" s="338">
        <f t="shared" si="46"/>
        <v>1.19194060000808</v>
      </c>
      <c r="BW29" s="92">
        <f t="shared" si="20"/>
        <v>57.575579109109164</v>
      </c>
      <c r="BX29" s="339">
        <f t="shared" si="21"/>
        <v>111.91797235032018</v>
      </c>
      <c r="BY29" s="92">
        <f t="shared" si="22"/>
        <v>223.83594470064037</v>
      </c>
      <c r="BZ29" s="92">
        <f t="shared" si="23"/>
        <v>772.1807545616891</v>
      </c>
      <c r="CA29" s="92">
        <f t="shared" si="24"/>
        <v>19.756101426888684</v>
      </c>
      <c r="CB29" s="340">
        <f t="shared" si="25"/>
        <v>0.17383158160791967</v>
      </c>
      <c r="CC29">
        <f t="shared" si="26"/>
        <v>1013</v>
      </c>
      <c r="CD29" s="92">
        <f t="shared" si="47"/>
        <v>260.57534686519955</v>
      </c>
      <c r="CE29" s="340">
        <f t="shared" si="57"/>
        <v>0.622608963851572</v>
      </c>
      <c r="CF29" s="92">
        <f t="shared" si="27"/>
        <v>206.21725534966595</v>
      </c>
      <c r="CG29" s="360">
        <f t="shared" si="28"/>
        <v>400.85427605766597</v>
      </c>
      <c r="CH29" s="92">
        <f t="shared" si="29"/>
        <v>742.3821192587974</v>
      </c>
    </row>
    <row r="30" spans="1:86" ht="15.75">
      <c r="A30" s="323">
        <f t="shared" si="48"/>
        <v>9.798248651215472</v>
      </c>
      <c r="B30">
        <f t="shared" si="39"/>
        <v>2743.2000000000003</v>
      </c>
      <c r="C30" s="384">
        <v>9000</v>
      </c>
      <c r="D30" s="325">
        <f t="shared" si="5"/>
        <v>720.4081036318129</v>
      </c>
      <c r="E30" s="326">
        <f t="shared" si="6"/>
        <v>737.6426969179918</v>
      </c>
      <c r="F30" s="327">
        <f t="shared" si="58"/>
        <v>270.6388562047518</v>
      </c>
      <c r="G30" s="328">
        <f t="shared" si="40"/>
        <v>-2.511143795248188</v>
      </c>
      <c r="H30" s="92">
        <f t="shared" si="41"/>
        <v>27.47994116855326</v>
      </c>
      <c r="I30">
        <f t="shared" si="42"/>
        <v>0.9494800926791053</v>
      </c>
      <c r="J30">
        <f t="shared" si="50"/>
        <v>775.1003074903244</v>
      </c>
      <c r="K30" s="329">
        <f t="shared" si="7"/>
        <v>227.17003297714047</v>
      </c>
      <c r="L30" s="329">
        <f t="shared" si="7"/>
        <v>340.7550494657107</v>
      </c>
      <c r="M30" s="329">
        <f t="shared" si="7"/>
        <v>363.47205276342476</v>
      </c>
      <c r="N30" s="329">
        <f t="shared" si="7"/>
        <v>386.1890560611388</v>
      </c>
      <c r="O30" s="329">
        <f t="shared" si="7"/>
        <v>1135.8501648857023</v>
      </c>
      <c r="P30" s="329">
        <f t="shared" si="7"/>
        <v>431.6230626565669</v>
      </c>
      <c r="Q30" s="329">
        <f t="shared" si="7"/>
        <v>454.34006595428093</v>
      </c>
      <c r="R30" s="329">
        <f t="shared" si="7"/>
        <v>477.057069251995</v>
      </c>
      <c r="S30" s="329">
        <f t="shared" si="7"/>
        <v>499.77407254970905</v>
      </c>
      <c r="T30" s="329">
        <f>T$10/SQRT($J30/1000)</f>
        <v>522.4910758474231</v>
      </c>
      <c r="U30" s="329">
        <f>U$10/SQRT($J30/1000)</f>
        <v>545.2080791451372</v>
      </c>
      <c r="V30" s="329">
        <f>V$10/SQRT($J30/1000)</f>
        <v>567.9250824428511</v>
      </c>
      <c r="W30" s="329">
        <f>W$10/SQRT($J30/1000)</f>
        <v>681.5100989314215</v>
      </c>
      <c r="X30" s="330">
        <f t="shared" si="51"/>
        <v>21.782639819207223</v>
      </c>
      <c r="Y30" s="331">
        <f t="shared" si="43"/>
        <v>553.2790514078634</v>
      </c>
      <c r="Z30" s="286">
        <f t="shared" si="8"/>
        <v>737.5419902533981</v>
      </c>
      <c r="AA30" s="332">
        <f t="shared" si="52"/>
        <v>691.3802293625379</v>
      </c>
      <c r="AB30" s="333">
        <f t="shared" si="59"/>
        <v>245.6388562047518</v>
      </c>
      <c r="AC30" s="334">
        <f t="shared" si="15"/>
        <v>-27.511143795248188</v>
      </c>
      <c r="AD30" s="335">
        <f t="shared" si="9"/>
        <v>35.26555454331438</v>
      </c>
      <c r="AE30" s="336">
        <f t="shared" si="10"/>
        <v>192.4584003244921</v>
      </c>
      <c r="AF30" s="336">
        <f t="shared" si="10"/>
        <v>256.6112004326562</v>
      </c>
      <c r="AG30" s="336">
        <f t="shared" si="10"/>
        <v>320.7640005408202</v>
      </c>
      <c r="AH30" s="336">
        <f t="shared" si="10"/>
        <v>384.9168006489842</v>
      </c>
      <c r="AI30" s="336">
        <f t="shared" si="10"/>
        <v>449.06960075714824</v>
      </c>
      <c r="AJ30" s="336">
        <f t="shared" si="10"/>
        <v>513.2224008653124</v>
      </c>
      <c r="AK30" s="336">
        <f t="shared" si="10"/>
        <v>577.3752009734764</v>
      </c>
      <c r="AL30" s="336">
        <f t="shared" si="10"/>
        <v>641.5280010816404</v>
      </c>
      <c r="AM30" s="336">
        <f t="shared" si="10"/>
        <v>769.8336012979684</v>
      </c>
      <c r="AN30">
        <f t="shared" si="30"/>
        <v>330.0305161119994</v>
      </c>
      <c r="AO30">
        <f t="shared" si="16"/>
        <v>1188.109858003198</v>
      </c>
      <c r="AP30">
        <f t="shared" si="17"/>
        <v>641.5280010816404</v>
      </c>
      <c r="AQ30" s="176">
        <f t="shared" si="31"/>
        <v>64966.63702992114</v>
      </c>
      <c r="AR30">
        <f t="shared" si="32"/>
        <v>1082.777283832019</v>
      </c>
      <c r="AS30" s="337">
        <f t="shared" si="33"/>
        <v>270.69</v>
      </c>
      <c r="AT30" s="337">
        <f t="shared" si="18"/>
        <v>-2.4599999999999795</v>
      </c>
      <c r="AU30" s="280"/>
      <c r="AV30" s="281">
        <f t="shared" si="54"/>
        <v>36000</v>
      </c>
      <c r="AW30" s="361">
        <f t="shared" si="60"/>
        <v>90</v>
      </c>
      <c r="AX30" s="64">
        <f t="shared" si="4"/>
        <v>9000</v>
      </c>
      <c r="AZ30" s="280">
        <f t="shared" si="55"/>
        <v>2.7432000000000003</v>
      </c>
      <c r="BA30" s="280">
        <f t="shared" si="44"/>
        <v>270.31919999999997</v>
      </c>
      <c r="BB30" s="280">
        <f t="shared" si="34"/>
        <v>0.24937655860349128</v>
      </c>
      <c r="BC30">
        <f t="shared" si="35"/>
        <v>0.9381197293076522</v>
      </c>
      <c r="BD30">
        <f t="shared" si="11"/>
        <v>724.0686053756995</v>
      </c>
      <c r="BE30">
        <f t="shared" si="12"/>
        <v>0.7146001533438929</v>
      </c>
      <c r="BF30">
        <f t="shared" si="36"/>
        <v>330.0305161119994</v>
      </c>
      <c r="BG30">
        <f t="shared" si="56"/>
        <v>0.9691383125768082</v>
      </c>
      <c r="BH30">
        <f t="shared" si="37"/>
        <v>0.9494800926791053</v>
      </c>
      <c r="BI30">
        <f t="shared" si="19"/>
        <v>0.7751003074903244</v>
      </c>
      <c r="BJ30">
        <f t="shared" si="45"/>
        <v>0.8803978120658436</v>
      </c>
      <c r="BM30" s="64">
        <f t="shared" si="38"/>
        <v>2.7432000000000003</v>
      </c>
      <c r="BN30">
        <f t="shared" si="61"/>
        <v>-35</v>
      </c>
      <c r="BO30">
        <f t="shared" si="61"/>
        <v>-24.89717504</v>
      </c>
      <c r="BP30" s="44">
        <f t="shared" si="61"/>
        <v>-12.129853439999998</v>
      </c>
      <c r="BQ30" s="44">
        <f t="shared" si="61"/>
        <v>-2.8307999999999964</v>
      </c>
      <c r="BR30" s="44">
        <f t="shared" si="61"/>
        <v>4.530143396226414</v>
      </c>
      <c r="BS30" s="44">
        <f t="shared" si="61"/>
        <v>10.192407547169807</v>
      </c>
      <c r="BT30" s="44">
        <f t="shared" si="61"/>
        <v>27.179199999999994</v>
      </c>
      <c r="BV30" s="338">
        <f t="shared" si="46"/>
        <v>1.1876790020628785</v>
      </c>
      <c r="BW30" s="92">
        <f t="shared" si="20"/>
        <v>58.43318070467558</v>
      </c>
      <c r="BX30" s="339">
        <f t="shared" si="21"/>
        <v>113.58501648857023</v>
      </c>
      <c r="BY30" s="92">
        <f t="shared" si="22"/>
        <v>227.17003297714047</v>
      </c>
      <c r="BZ30" s="92">
        <f t="shared" si="23"/>
        <v>744.3448786873183</v>
      </c>
      <c r="CA30" s="92">
        <f t="shared" si="24"/>
        <v>20.27627331161888</v>
      </c>
      <c r="CB30" s="340">
        <f t="shared" si="25"/>
        <v>0.17705387184512852</v>
      </c>
      <c r="CC30">
        <f t="shared" si="26"/>
        <v>1013</v>
      </c>
      <c r="CD30" s="92">
        <f t="shared" si="47"/>
        <v>288.93139462430054</v>
      </c>
      <c r="CE30" s="340">
        <f t="shared" si="57"/>
        <v>0.6579632064780724</v>
      </c>
      <c r="CF30" s="92">
        <f t="shared" si="27"/>
        <v>217.14793661666425</v>
      </c>
      <c r="CG30" s="360">
        <f t="shared" si="28"/>
        <v>422.10182063714433</v>
      </c>
      <c r="CH30" s="92">
        <f t="shared" si="29"/>
        <v>781.7325718199913</v>
      </c>
    </row>
    <row r="31" spans="1:86" ht="15.75">
      <c r="A31" s="323">
        <f t="shared" si="48"/>
        <v>9.797315834498635</v>
      </c>
      <c r="B31">
        <f t="shared" si="39"/>
        <v>3048</v>
      </c>
      <c r="C31" s="384">
        <v>10000</v>
      </c>
      <c r="D31" s="325">
        <f t="shared" si="5"/>
        <v>692.1563067129816</v>
      </c>
      <c r="E31" s="326">
        <f t="shared" si="6"/>
        <v>710.7595862295311</v>
      </c>
      <c r="F31" s="327">
        <f t="shared" si="58"/>
        <v>268.69317356083536</v>
      </c>
      <c r="G31" s="328">
        <f t="shared" si="40"/>
        <v>-4.456826439164615</v>
      </c>
      <c r="H31" s="92">
        <f t="shared" si="41"/>
        <v>23.97771240950369</v>
      </c>
      <c r="I31">
        <f t="shared" si="42"/>
        <v>0.9215015262153845</v>
      </c>
      <c r="J31">
        <f t="shared" si="50"/>
        <v>752.2602336052813</v>
      </c>
      <c r="K31" s="329">
        <f aca="true" t="shared" si="62" ref="K31:W51">K$10/SQRT($J31/1000)</f>
        <v>230.59290650669828</v>
      </c>
      <c r="L31" s="329">
        <f t="shared" si="62"/>
        <v>345.8893597600474</v>
      </c>
      <c r="M31" s="329">
        <f t="shared" si="62"/>
        <v>368.9486504107172</v>
      </c>
      <c r="N31" s="329">
        <f t="shared" si="62"/>
        <v>392.00794106138704</v>
      </c>
      <c r="O31" s="329">
        <f t="shared" si="62"/>
        <v>1152.9645325334914</v>
      </c>
      <c r="P31" s="329">
        <f t="shared" si="62"/>
        <v>438.1265223627267</v>
      </c>
      <c r="Q31" s="329">
        <f t="shared" si="62"/>
        <v>461.18581301339657</v>
      </c>
      <c r="R31" s="329">
        <f t="shared" si="62"/>
        <v>484.2451036640664</v>
      </c>
      <c r="S31" s="329">
        <f t="shared" si="62"/>
        <v>507.3043943147362</v>
      </c>
      <c r="T31" s="329">
        <f t="shared" si="62"/>
        <v>530.363684965406</v>
      </c>
      <c r="U31" s="329">
        <f t="shared" si="62"/>
        <v>553.4229756160759</v>
      </c>
      <c r="V31" s="329">
        <f t="shared" si="62"/>
        <v>576.4822662667457</v>
      </c>
      <c r="W31" s="329">
        <f t="shared" si="62"/>
        <v>691.7787195200948</v>
      </c>
      <c r="X31" s="330">
        <f t="shared" si="51"/>
        <v>20.988779702658515</v>
      </c>
      <c r="Y31" s="331">
        <f t="shared" si="43"/>
        <v>533.1150044475263</v>
      </c>
      <c r="Z31" s="286">
        <f t="shared" si="8"/>
        <v>710.6506147436489</v>
      </c>
      <c r="AA31" s="332">
        <f t="shared" si="52"/>
        <v>663.6278525624863</v>
      </c>
      <c r="AB31" s="333">
        <f t="shared" si="59"/>
        <v>243.69317356083536</v>
      </c>
      <c r="AC31" s="334">
        <f t="shared" si="15"/>
        <v>-29.456826439164615</v>
      </c>
      <c r="AD31" s="335">
        <f t="shared" si="9"/>
        <v>36.3397445347779</v>
      </c>
      <c r="AE31" s="336">
        <f t="shared" si="10"/>
        <v>191.76533941497027</v>
      </c>
      <c r="AF31" s="336">
        <f t="shared" si="10"/>
        <v>255.68711921996038</v>
      </c>
      <c r="AG31" s="336">
        <f t="shared" si="10"/>
        <v>319.60889902495046</v>
      </c>
      <c r="AH31" s="336">
        <f t="shared" si="10"/>
        <v>383.53067882994054</v>
      </c>
      <c r="AI31" s="336">
        <f t="shared" si="10"/>
        <v>447.4524586349306</v>
      </c>
      <c r="AJ31" s="336">
        <f t="shared" si="10"/>
        <v>511.37423843992076</v>
      </c>
      <c r="AK31" s="336">
        <f t="shared" si="10"/>
        <v>575.2960182449109</v>
      </c>
      <c r="AL31" s="336">
        <f t="shared" si="10"/>
        <v>639.2177980499009</v>
      </c>
      <c r="AM31" s="336">
        <f t="shared" si="10"/>
        <v>767.0613576598811</v>
      </c>
      <c r="AN31">
        <f t="shared" si="30"/>
        <v>328.8420449967823</v>
      </c>
      <c r="AO31">
        <f t="shared" si="16"/>
        <v>1183.8313619884163</v>
      </c>
      <c r="AP31">
        <f t="shared" si="17"/>
        <v>639.2177980499009</v>
      </c>
      <c r="AQ31" s="176">
        <f t="shared" si="31"/>
        <v>64732.686022988644</v>
      </c>
      <c r="AR31">
        <f t="shared" si="32"/>
        <v>1078.878100383144</v>
      </c>
      <c r="AS31" s="337">
        <f t="shared" si="33"/>
        <v>268.75</v>
      </c>
      <c r="AT31" s="337">
        <f t="shared" si="18"/>
        <v>-4.399999999999977</v>
      </c>
      <c r="AU31" s="280"/>
      <c r="AV31" s="281">
        <f t="shared" si="54"/>
        <v>36000</v>
      </c>
      <c r="AW31" s="361">
        <f t="shared" si="60"/>
        <v>100</v>
      </c>
      <c r="AX31" s="64">
        <f t="shared" si="4"/>
        <v>10000</v>
      </c>
      <c r="AZ31" s="280">
        <f t="shared" si="55"/>
        <v>3.048</v>
      </c>
      <c r="BA31" s="280">
        <f t="shared" si="44"/>
        <v>268.33799999999997</v>
      </c>
      <c r="BB31" s="280">
        <f t="shared" si="34"/>
        <v>0.2770850651149903</v>
      </c>
      <c r="BC31">
        <f t="shared" si="35"/>
        <v>0.9312441436751692</v>
      </c>
      <c r="BD31">
        <f t="shared" si="11"/>
        <v>696.5842972995092</v>
      </c>
      <c r="BE31">
        <f t="shared" si="12"/>
        <v>0.6874752502339099</v>
      </c>
      <c r="BF31">
        <f t="shared" si="36"/>
        <v>328.8420449967823</v>
      </c>
      <c r="BG31">
        <f t="shared" si="56"/>
        <v>0.9656483538156707</v>
      </c>
      <c r="BH31">
        <f t="shared" si="37"/>
        <v>0.9215015262153845</v>
      </c>
      <c r="BI31">
        <f t="shared" si="19"/>
        <v>0.7522602336052813</v>
      </c>
      <c r="BJ31">
        <f t="shared" si="45"/>
        <v>0.8673293685822482</v>
      </c>
      <c r="BM31" s="64">
        <f t="shared" si="38"/>
        <v>3.048</v>
      </c>
      <c r="BN31">
        <f t="shared" si="61"/>
        <v>-35.226560000000006</v>
      </c>
      <c r="BO31">
        <f t="shared" si="61"/>
        <v>-26.466041600000004</v>
      </c>
      <c r="BP31" s="44">
        <f t="shared" si="61"/>
        <v>-13.9157376</v>
      </c>
      <c r="BQ31" s="44">
        <f t="shared" si="61"/>
        <v>-4.811999999999998</v>
      </c>
      <c r="BR31" s="44">
        <f t="shared" si="61"/>
        <v>2.548943396226413</v>
      </c>
      <c r="BS31" s="44">
        <f t="shared" si="61"/>
        <v>8.211207547169806</v>
      </c>
      <c r="BT31" s="44">
        <f t="shared" si="61"/>
        <v>25.197999999999993</v>
      </c>
      <c r="BV31" s="338">
        <f t="shared" si="46"/>
        <v>1.1834020576011044</v>
      </c>
      <c r="BW31" s="92">
        <f t="shared" si="20"/>
        <v>59.313619840334056</v>
      </c>
      <c r="BX31" s="339">
        <f t="shared" si="21"/>
        <v>115.29645325334914</v>
      </c>
      <c r="BY31" s="92">
        <f t="shared" si="22"/>
        <v>230.59290650669828</v>
      </c>
      <c r="BZ31" s="92">
        <f t="shared" si="23"/>
        <v>717.4009637287993</v>
      </c>
      <c r="CA31" s="92">
        <f t="shared" si="24"/>
        <v>20.81666642929003</v>
      </c>
      <c r="CB31" s="340">
        <f t="shared" si="25"/>
        <v>0.18037115613033738</v>
      </c>
      <c r="CC31">
        <f t="shared" si="26"/>
        <v>1013</v>
      </c>
      <c r="CD31" s="92">
        <f t="shared" si="47"/>
        <v>316.4157027004908</v>
      </c>
      <c r="CE31" s="340">
        <f t="shared" si="57"/>
        <v>0.6910349512327062</v>
      </c>
      <c r="CF31" s="92">
        <f t="shared" si="27"/>
        <v>227.24134652761484</v>
      </c>
      <c r="CG31" s="360">
        <f t="shared" si="28"/>
        <v>441.721839902491</v>
      </c>
      <c r="CH31" s="92">
        <f t="shared" si="29"/>
        <v>818.0688474994134</v>
      </c>
    </row>
    <row r="32" spans="1:86" ht="15.75">
      <c r="A32" s="323">
        <f t="shared" si="48"/>
        <v>9.794984375415211</v>
      </c>
      <c r="B32">
        <f t="shared" si="39"/>
        <v>3810</v>
      </c>
      <c r="C32" s="384">
        <v>12500</v>
      </c>
      <c r="D32" s="325">
        <f t="shared" si="5"/>
        <v>625.0153259165048</v>
      </c>
      <c r="E32" s="326">
        <f t="shared" si="6"/>
        <v>646.617046176736</v>
      </c>
      <c r="F32" s="327">
        <f t="shared" si="58"/>
        <v>263.8289669510442</v>
      </c>
      <c r="G32" s="328">
        <f t="shared" si="40"/>
        <v>-9.32103304895577</v>
      </c>
      <c r="H32" s="92">
        <f t="shared" si="41"/>
        <v>15.222140511879616</v>
      </c>
      <c r="I32">
        <f t="shared" si="42"/>
        <v>0.8537970270270091</v>
      </c>
      <c r="J32">
        <f t="shared" si="50"/>
        <v>696.9902194743752</v>
      </c>
      <c r="K32" s="329">
        <f t="shared" si="62"/>
        <v>239.5612958963283</v>
      </c>
      <c r="L32" s="329">
        <f t="shared" si="62"/>
        <v>359.34194384449245</v>
      </c>
      <c r="M32" s="329">
        <f t="shared" si="62"/>
        <v>383.2980734341253</v>
      </c>
      <c r="N32" s="329">
        <f t="shared" si="62"/>
        <v>407.2542030237581</v>
      </c>
      <c r="O32" s="329">
        <f t="shared" si="62"/>
        <v>1197.8064794816414</v>
      </c>
      <c r="P32" s="329">
        <f t="shared" si="62"/>
        <v>455.1664622030238</v>
      </c>
      <c r="Q32" s="329">
        <f t="shared" si="62"/>
        <v>479.1225917926566</v>
      </c>
      <c r="R32" s="329">
        <f t="shared" si="62"/>
        <v>503.0787213822894</v>
      </c>
      <c r="S32" s="329">
        <f t="shared" si="62"/>
        <v>527.0348509719223</v>
      </c>
      <c r="T32" s="329">
        <f t="shared" si="62"/>
        <v>550.990980561555</v>
      </c>
      <c r="U32" s="329">
        <f t="shared" si="62"/>
        <v>574.9471101511879</v>
      </c>
      <c r="V32" s="329">
        <f t="shared" si="62"/>
        <v>598.9032397408207</v>
      </c>
      <c r="W32" s="329">
        <f t="shared" si="62"/>
        <v>718.6838876889849</v>
      </c>
      <c r="X32" s="330">
        <f t="shared" si="51"/>
        <v>19.09464606194487</v>
      </c>
      <c r="Y32" s="331">
        <f t="shared" si="43"/>
        <v>485.0040099733997</v>
      </c>
      <c r="Z32" s="286">
        <f t="shared" si="8"/>
        <v>646.4897198268147</v>
      </c>
      <c r="AA32" s="332">
        <f t="shared" si="52"/>
        <v>597.7541832029763</v>
      </c>
      <c r="AB32" s="333">
        <f t="shared" si="59"/>
        <v>238.8289669510442</v>
      </c>
      <c r="AC32" s="334">
        <f t="shared" si="15"/>
        <v>-34.32103304895577</v>
      </c>
      <c r="AD32" s="335">
        <f t="shared" si="9"/>
        <v>39.230753670975574</v>
      </c>
      <c r="AE32" s="336">
        <f t="shared" si="10"/>
        <v>190.02162841273997</v>
      </c>
      <c r="AF32" s="336">
        <f t="shared" si="10"/>
        <v>253.36217121698667</v>
      </c>
      <c r="AG32" s="336">
        <f t="shared" si="10"/>
        <v>316.7027140212333</v>
      </c>
      <c r="AH32" s="336">
        <f t="shared" si="10"/>
        <v>380.04325682547994</v>
      </c>
      <c r="AI32" s="336">
        <f t="shared" si="10"/>
        <v>443.3837996297266</v>
      </c>
      <c r="AJ32" s="336">
        <f t="shared" si="10"/>
        <v>506.72434243397333</v>
      </c>
      <c r="AK32" s="336">
        <f t="shared" si="10"/>
        <v>570.06488523822</v>
      </c>
      <c r="AL32" s="336">
        <f t="shared" si="10"/>
        <v>633.4054280424666</v>
      </c>
      <c r="AM32" s="336">
        <f t="shared" si="10"/>
        <v>760.0865136509599</v>
      </c>
      <c r="AN32">
        <f t="shared" si="30"/>
        <v>325.8519035374022</v>
      </c>
      <c r="AO32">
        <f t="shared" si="16"/>
        <v>1173.0668527346481</v>
      </c>
      <c r="AP32">
        <f t="shared" si="17"/>
        <v>633.4054280424666</v>
      </c>
      <c r="AQ32" s="176">
        <f t="shared" si="31"/>
        <v>64144.075499488616</v>
      </c>
      <c r="AR32">
        <f t="shared" si="32"/>
        <v>1069.067924991477</v>
      </c>
      <c r="AS32" s="337">
        <f t="shared" si="33"/>
        <v>263.9</v>
      </c>
      <c r="AT32" s="337">
        <f t="shared" si="18"/>
        <v>-9.25</v>
      </c>
      <c r="AU32" s="280"/>
      <c r="AV32" s="281">
        <f t="shared" si="54"/>
        <v>36000</v>
      </c>
      <c r="AW32" s="361">
        <f t="shared" si="60"/>
        <v>125</v>
      </c>
      <c r="AX32" s="64">
        <f t="shared" si="4"/>
        <v>12500</v>
      </c>
      <c r="AZ32" s="280">
        <f t="shared" si="55"/>
        <v>3.81</v>
      </c>
      <c r="BA32" s="280">
        <f t="shared" si="44"/>
        <v>263.385</v>
      </c>
      <c r="BB32" s="280">
        <f t="shared" si="34"/>
        <v>0.3463563313937379</v>
      </c>
      <c r="BC32">
        <f t="shared" si="35"/>
        <v>0.9140551795939615</v>
      </c>
      <c r="BD32">
        <f t="shared" si="11"/>
        <v>631.5526590583776</v>
      </c>
      <c r="BE32">
        <f t="shared" si="12"/>
        <v>0.6232940133810783</v>
      </c>
      <c r="BF32">
        <f t="shared" si="36"/>
        <v>325.8519035374022</v>
      </c>
      <c r="BG32">
        <f t="shared" si="56"/>
        <v>0.9568677698792261</v>
      </c>
      <c r="BH32">
        <f t="shared" si="37"/>
        <v>0.8537970270270091</v>
      </c>
      <c r="BI32">
        <f t="shared" si="19"/>
        <v>0.6969902194743751</v>
      </c>
      <c r="BJ32">
        <f t="shared" si="45"/>
        <v>0.834859401021738</v>
      </c>
      <c r="BM32" s="64">
        <f t="shared" si="38"/>
        <v>3.81</v>
      </c>
      <c r="BN32">
        <f t="shared" si="61"/>
        <v>-38.82320000000001</v>
      </c>
      <c r="BO32">
        <f t="shared" si="61"/>
        <v>-30.388208000000006</v>
      </c>
      <c r="BP32" s="44">
        <f t="shared" si="61"/>
        <v>-18.380448</v>
      </c>
      <c r="BQ32" s="44">
        <f t="shared" si="61"/>
        <v>-9.765</v>
      </c>
      <c r="BR32" s="44">
        <f t="shared" si="61"/>
        <v>-2.40405660377359</v>
      </c>
      <c r="BS32" s="44">
        <f t="shared" si="61"/>
        <v>3.2582075471698033</v>
      </c>
      <c r="BT32" s="44">
        <f t="shared" si="61"/>
        <v>20.24499999999999</v>
      </c>
      <c r="BV32" s="338">
        <f t="shared" si="46"/>
        <v>1.1726414519869917</v>
      </c>
      <c r="BW32" s="92">
        <f t="shared" si="20"/>
        <v>61.62048888888891</v>
      </c>
      <c r="BX32" s="339">
        <f t="shared" si="21"/>
        <v>119.78064794816417</v>
      </c>
      <c r="BY32" s="92">
        <f t="shared" si="22"/>
        <v>239.5612958963283</v>
      </c>
      <c r="BZ32" s="92">
        <f t="shared" si="23"/>
        <v>653.8157533501553</v>
      </c>
      <c r="CA32" s="92">
        <f t="shared" si="24"/>
        <v>22.26309429177779</v>
      </c>
      <c r="CB32" s="340">
        <f t="shared" si="25"/>
        <v>0.18910581224152928</v>
      </c>
      <c r="CC32">
        <f t="shared" si="26"/>
        <v>1013</v>
      </c>
      <c r="CD32" s="92">
        <f t="shared" si="47"/>
        <v>381.44734094162243</v>
      </c>
      <c r="CE32" s="340">
        <f t="shared" si="57"/>
        <v>0.7656942284950288</v>
      </c>
      <c r="CF32" s="92">
        <f t="shared" si="27"/>
        <v>249.50292188270774</v>
      </c>
      <c r="CG32" s="360">
        <f t="shared" si="28"/>
        <v>484.99488054953986</v>
      </c>
      <c r="CH32" s="92">
        <f t="shared" si="29"/>
        <v>898.2105187777479</v>
      </c>
    </row>
    <row r="33" spans="1:86" ht="15.75">
      <c r="A33" s="323">
        <f t="shared" si="48"/>
        <v>9.792653748455837</v>
      </c>
      <c r="B33">
        <f t="shared" si="39"/>
        <v>4572</v>
      </c>
      <c r="C33" s="384">
        <v>15000</v>
      </c>
      <c r="D33" s="325">
        <f t="shared" si="5"/>
        <v>562.682691521867</v>
      </c>
      <c r="E33" s="326">
        <f t="shared" si="6"/>
        <v>586.7140783177064</v>
      </c>
      <c r="F33" s="327">
        <f t="shared" si="58"/>
        <v>258.96476034125305</v>
      </c>
      <c r="G33" s="328">
        <f t="shared" si="40"/>
        <v>-14.185239658746923</v>
      </c>
      <c r="H33" s="92">
        <f t="shared" si="41"/>
        <v>6.466568614255539</v>
      </c>
      <c r="I33">
        <f t="shared" si="42"/>
        <v>0.789252207750409</v>
      </c>
      <c r="J33">
        <f t="shared" si="50"/>
        <v>644.2995841951916</v>
      </c>
      <c r="K33" s="329">
        <f t="shared" si="62"/>
        <v>249.16444511894957</v>
      </c>
      <c r="L33" s="329">
        <f t="shared" si="62"/>
        <v>373.74666767842433</v>
      </c>
      <c r="M33" s="329">
        <f t="shared" si="62"/>
        <v>398.6631121903193</v>
      </c>
      <c r="N33" s="329">
        <f t="shared" si="62"/>
        <v>423.5795567022143</v>
      </c>
      <c r="O33" s="329">
        <f t="shared" si="62"/>
        <v>1245.8222255947478</v>
      </c>
      <c r="P33" s="329">
        <f t="shared" si="62"/>
        <v>473.4124457260042</v>
      </c>
      <c r="Q33" s="329">
        <f t="shared" si="62"/>
        <v>498.32889023789915</v>
      </c>
      <c r="R33" s="329">
        <f t="shared" si="62"/>
        <v>523.2453347497941</v>
      </c>
      <c r="S33" s="329">
        <f t="shared" si="62"/>
        <v>548.161779261689</v>
      </c>
      <c r="T33" s="329">
        <f t="shared" si="62"/>
        <v>573.078223773584</v>
      </c>
      <c r="U33" s="329">
        <f t="shared" si="62"/>
        <v>597.994668285479</v>
      </c>
      <c r="V33" s="329">
        <f t="shared" si="62"/>
        <v>622.9111127973739</v>
      </c>
      <c r="W33" s="329">
        <f t="shared" si="62"/>
        <v>747.4933353568487</v>
      </c>
      <c r="X33" s="330">
        <f t="shared" si="51"/>
        <v>17.325707281114163</v>
      </c>
      <c r="Y33" s="331">
        <f t="shared" si="43"/>
        <v>440.0729649402997</v>
      </c>
      <c r="Z33" s="286">
        <f t="shared" si="8"/>
        <v>586.5715248384959</v>
      </c>
      <c r="AA33" s="332">
        <f t="shared" si="52"/>
        <v>536.7105698057873</v>
      </c>
      <c r="AB33" s="333">
        <f t="shared" si="59"/>
        <v>233.96476034125305</v>
      </c>
      <c r="AC33" s="334">
        <f t="shared" si="15"/>
        <v>-39.18523965874692</v>
      </c>
      <c r="AD33" s="335">
        <f t="shared" si="9"/>
        <v>42.449133842209</v>
      </c>
      <c r="AE33" s="336">
        <f aca="true" t="shared" si="63" ref="AE33:AM62">AE$10*$AP33</f>
        <v>188.2617675693078</v>
      </c>
      <c r="AF33" s="336">
        <f t="shared" si="63"/>
        <v>251.01569009241044</v>
      </c>
      <c r="AG33" s="336">
        <f t="shared" si="63"/>
        <v>313.76961261551304</v>
      </c>
      <c r="AH33" s="336">
        <f t="shared" si="63"/>
        <v>376.5235351386156</v>
      </c>
      <c r="AI33" s="336">
        <f t="shared" si="63"/>
        <v>439.27745766171824</v>
      </c>
      <c r="AJ33" s="336">
        <f t="shared" si="63"/>
        <v>502.0313801848209</v>
      </c>
      <c r="AK33" s="336">
        <f t="shared" si="63"/>
        <v>564.7853027079235</v>
      </c>
      <c r="AL33" s="336">
        <f t="shared" si="63"/>
        <v>627.5392252310261</v>
      </c>
      <c r="AM33" s="336">
        <f t="shared" si="63"/>
        <v>753.0470702772312</v>
      </c>
      <c r="AN33">
        <f t="shared" si="30"/>
        <v>322.8340680910723</v>
      </c>
      <c r="AO33">
        <f t="shared" si="16"/>
        <v>1162.2026451278603</v>
      </c>
      <c r="AP33">
        <f t="shared" si="17"/>
        <v>627.5392252310261</v>
      </c>
      <c r="AQ33" s="176">
        <f t="shared" si="31"/>
        <v>63550.01340375439</v>
      </c>
      <c r="AR33">
        <f t="shared" si="32"/>
        <v>1059.1668900625732</v>
      </c>
      <c r="AS33" s="337">
        <f t="shared" si="33"/>
        <v>259.04999999999995</v>
      </c>
      <c r="AT33" s="337">
        <f t="shared" si="18"/>
        <v>-14.100000000000023</v>
      </c>
      <c r="AU33" s="280"/>
      <c r="AV33" s="281">
        <f t="shared" si="54"/>
        <v>36000</v>
      </c>
      <c r="AW33" s="361">
        <f t="shared" si="60"/>
        <v>150</v>
      </c>
      <c r="AX33" s="64">
        <f t="shared" si="4"/>
        <v>15000</v>
      </c>
      <c r="AZ33" s="280">
        <f t="shared" si="55"/>
        <v>4.572</v>
      </c>
      <c r="BA33" s="280">
        <f t="shared" si="44"/>
        <v>258.43199999999996</v>
      </c>
      <c r="BB33" s="280">
        <f t="shared" si="34"/>
        <v>0.41562759767248547</v>
      </c>
      <c r="BC33">
        <f t="shared" si="35"/>
        <v>0.8968662155127537</v>
      </c>
      <c r="BD33">
        <f t="shared" si="11"/>
        <v>571.5277126931315</v>
      </c>
      <c r="BE33">
        <f t="shared" si="12"/>
        <v>0.5640539972298362</v>
      </c>
      <c r="BF33">
        <f t="shared" si="36"/>
        <v>322.8340680910723</v>
      </c>
      <c r="BG33">
        <f t="shared" si="56"/>
        <v>0.9480058622394545</v>
      </c>
      <c r="BH33">
        <f t="shared" si="37"/>
        <v>0.789252207750409</v>
      </c>
      <c r="BI33">
        <f t="shared" si="19"/>
        <v>0.6442995841951916</v>
      </c>
      <c r="BJ33">
        <f t="shared" si="45"/>
        <v>0.8026827419318243</v>
      </c>
      <c r="BM33" s="64">
        <f t="shared" si="38"/>
        <v>4.572</v>
      </c>
      <c r="BN33">
        <f t="shared" si="61"/>
        <v>-42.41984</v>
      </c>
      <c r="BO33">
        <f t="shared" si="61"/>
        <v>-34.31037440000001</v>
      </c>
      <c r="BP33" s="44">
        <f t="shared" si="61"/>
        <v>-22.845158399999995</v>
      </c>
      <c r="BQ33" s="44">
        <f t="shared" si="61"/>
        <v>-14.718000000000004</v>
      </c>
      <c r="BR33" s="44">
        <f t="shared" si="61"/>
        <v>-7.357056603773586</v>
      </c>
      <c r="BS33" s="44">
        <f t="shared" si="61"/>
        <v>-1.6947924528301925</v>
      </c>
      <c r="BT33" s="44">
        <f t="shared" si="61"/>
        <v>15.291999999999994</v>
      </c>
      <c r="BV33" s="338">
        <f t="shared" si="46"/>
        <v>1.1617811841744514</v>
      </c>
      <c r="BW33" s="92">
        <f t="shared" si="20"/>
        <v>64.09063227226314</v>
      </c>
      <c r="BX33" s="339">
        <f t="shared" si="21"/>
        <v>124.58222255947479</v>
      </c>
      <c r="BY33" s="92">
        <f t="shared" si="22"/>
        <v>249.16444511894957</v>
      </c>
      <c r="BZ33" s="92">
        <f t="shared" si="23"/>
        <v>595.3884277764906</v>
      </c>
      <c r="CA33" s="92">
        <f t="shared" si="24"/>
        <v>23.8607150833591</v>
      </c>
      <c r="CB33" s="340">
        <f t="shared" si="25"/>
        <v>0.19852499660656325</v>
      </c>
      <c r="CC33">
        <f t="shared" si="26"/>
        <v>1013</v>
      </c>
      <c r="CD33" s="92">
        <f t="shared" si="47"/>
        <v>441.47228730686845</v>
      </c>
      <c r="CE33" s="340">
        <f t="shared" si="57"/>
        <v>0.8314395985592523</v>
      </c>
      <c r="CF33" s="92">
        <f t="shared" si="27"/>
        <v>268.4170279748915</v>
      </c>
      <c r="CG33" s="360">
        <f t="shared" si="28"/>
        <v>521.7609615062685</v>
      </c>
      <c r="CH33" s="92">
        <f t="shared" si="29"/>
        <v>966.3013007096092</v>
      </c>
    </row>
    <row r="34" spans="1:86" ht="15.75">
      <c r="A34" s="323">
        <f t="shared" si="48"/>
        <v>9.789858093950867</v>
      </c>
      <c r="B34">
        <f t="shared" si="39"/>
        <v>5486.400000000001</v>
      </c>
      <c r="C34" s="384">
        <v>18000</v>
      </c>
      <c r="D34" s="325">
        <f t="shared" si="5"/>
        <v>493.92677126011563</v>
      </c>
      <c r="E34" s="326">
        <f t="shared" si="6"/>
        <v>520.1844698898835</v>
      </c>
      <c r="F34" s="327">
        <f t="shared" si="58"/>
        <v>253.12771240950366</v>
      </c>
      <c r="G34" s="328">
        <f t="shared" si="40"/>
        <v>-20.02228759049632</v>
      </c>
      <c r="H34" s="92">
        <f t="shared" si="41"/>
        <v>-4.040117662893373</v>
      </c>
      <c r="I34">
        <f t="shared" si="42"/>
        <v>0.7158922381390896</v>
      </c>
      <c r="J34">
        <f t="shared" si="50"/>
        <v>584.412773042815</v>
      </c>
      <c r="K34" s="329">
        <f t="shared" si="62"/>
        <v>261.6195208750686</v>
      </c>
      <c r="L34" s="329">
        <f t="shared" si="62"/>
        <v>392.4292813126029</v>
      </c>
      <c r="M34" s="329">
        <f t="shared" si="62"/>
        <v>418.59123340010973</v>
      </c>
      <c r="N34" s="329">
        <f t="shared" si="62"/>
        <v>444.75318548761663</v>
      </c>
      <c r="O34" s="329">
        <f t="shared" si="62"/>
        <v>1308.097604375343</v>
      </c>
      <c r="P34" s="329">
        <f t="shared" si="62"/>
        <v>497.0770896626303</v>
      </c>
      <c r="Q34" s="329">
        <f t="shared" si="62"/>
        <v>523.2390417501372</v>
      </c>
      <c r="R34" s="329">
        <f t="shared" si="62"/>
        <v>549.400993837644</v>
      </c>
      <c r="S34" s="329">
        <f t="shared" si="62"/>
        <v>575.5629459251509</v>
      </c>
      <c r="T34" s="329">
        <f t="shared" si="62"/>
        <v>601.7248980126577</v>
      </c>
      <c r="U34" s="329">
        <f t="shared" si="62"/>
        <v>627.8868501001647</v>
      </c>
      <c r="V34" s="329">
        <f t="shared" si="62"/>
        <v>654.0488021876715</v>
      </c>
      <c r="W34" s="329">
        <f t="shared" si="62"/>
        <v>784.8585626252058</v>
      </c>
      <c r="X34" s="330">
        <f t="shared" si="51"/>
        <v>15.361083346313281</v>
      </c>
      <c r="Y34" s="331">
        <f t="shared" si="43"/>
        <v>390.1715169963573</v>
      </c>
      <c r="Z34" s="286">
        <f t="shared" si="8"/>
        <v>520.0274812874117</v>
      </c>
      <c r="AA34" s="332">
        <f t="shared" si="52"/>
        <v>469.5214069704151</v>
      </c>
      <c r="AB34" s="333">
        <f t="shared" si="59"/>
        <v>228.12771240950366</v>
      </c>
      <c r="AC34" s="334">
        <f t="shared" si="15"/>
        <v>-45.02228759049632</v>
      </c>
      <c r="AD34" s="335">
        <f t="shared" si="9"/>
        <v>46.812408583878195</v>
      </c>
      <c r="AE34" s="336">
        <f t="shared" si="63"/>
        <v>186.1279714732552</v>
      </c>
      <c r="AF34" s="336">
        <f t="shared" si="63"/>
        <v>248.17062863100696</v>
      </c>
      <c r="AG34" s="336">
        <f t="shared" si="63"/>
        <v>310.2132857887587</v>
      </c>
      <c r="AH34" s="336">
        <f t="shared" si="63"/>
        <v>372.2559429465104</v>
      </c>
      <c r="AI34" s="336">
        <f t="shared" si="63"/>
        <v>434.29860010426216</v>
      </c>
      <c r="AJ34" s="336">
        <f t="shared" si="63"/>
        <v>496.3412572620139</v>
      </c>
      <c r="AK34" s="336">
        <f t="shared" si="63"/>
        <v>558.3839144197657</v>
      </c>
      <c r="AL34" s="336">
        <f t="shared" si="63"/>
        <v>620.4265715775174</v>
      </c>
      <c r="AM34" s="336">
        <f t="shared" si="63"/>
        <v>744.5118858930208</v>
      </c>
      <c r="AN34">
        <f t="shared" si="30"/>
        <v>319.17500293376725</v>
      </c>
      <c r="AO34">
        <f t="shared" si="16"/>
        <v>1149.0300105615622</v>
      </c>
      <c r="AP34">
        <f t="shared" si="17"/>
        <v>620.4265715775174</v>
      </c>
      <c r="AQ34" s="176">
        <f t="shared" si="31"/>
        <v>62829.72498696205</v>
      </c>
      <c r="AR34">
        <f t="shared" si="32"/>
        <v>1047.1620831160342</v>
      </c>
      <c r="AS34" s="337">
        <f t="shared" si="33"/>
        <v>253.22999999999996</v>
      </c>
      <c r="AT34" s="337">
        <f t="shared" si="18"/>
        <v>-19.920000000000016</v>
      </c>
      <c r="AU34" s="280"/>
      <c r="AV34" s="281">
        <f t="shared" si="54"/>
        <v>36000</v>
      </c>
      <c r="AW34" s="361">
        <f t="shared" si="60"/>
        <v>180</v>
      </c>
      <c r="AX34" s="64">
        <f t="shared" si="4"/>
        <v>18000</v>
      </c>
      <c r="AZ34" s="280">
        <f t="shared" si="55"/>
        <v>5.486400000000001</v>
      </c>
      <c r="BA34" s="280">
        <f t="shared" si="44"/>
        <v>252.48839999999996</v>
      </c>
      <c r="BB34" s="280">
        <f t="shared" si="34"/>
        <v>0.49875311720698257</v>
      </c>
      <c r="BC34">
        <f t="shared" si="35"/>
        <v>0.8762394586153045</v>
      </c>
      <c r="BD34">
        <f t="shared" si="11"/>
        <v>505.6844670079207</v>
      </c>
      <c r="BE34">
        <f t="shared" si="12"/>
        <v>0.49907176610700293</v>
      </c>
      <c r="BF34">
        <f t="shared" si="36"/>
        <v>319.17500293376725</v>
      </c>
      <c r="BG34">
        <f t="shared" si="56"/>
        <v>0.9372609763606111</v>
      </c>
      <c r="BH34">
        <f t="shared" si="37"/>
        <v>0.7158922381390896</v>
      </c>
      <c r="BI34">
        <f t="shared" si="19"/>
        <v>0.5844127730428151</v>
      </c>
      <c r="BJ34">
        <f t="shared" si="45"/>
        <v>0.7644689483836574</v>
      </c>
      <c r="BM34" s="64">
        <f t="shared" si="38"/>
        <v>5.486400000000001</v>
      </c>
      <c r="BN34">
        <f t="shared" si="61"/>
        <v>-46.735808</v>
      </c>
      <c r="BO34">
        <f t="shared" si="61"/>
        <v>-39.01697408000001</v>
      </c>
      <c r="BP34" s="44">
        <f t="shared" si="61"/>
        <v>-28.20281088</v>
      </c>
      <c r="BQ34" s="44">
        <f t="shared" si="61"/>
        <v>-20.661600000000007</v>
      </c>
      <c r="BR34" s="44">
        <f t="shared" si="61"/>
        <v>-13.30065660377359</v>
      </c>
      <c r="BS34" s="44">
        <f t="shared" si="61"/>
        <v>-7.638392452830196</v>
      </c>
      <c r="BT34" s="44">
        <f t="shared" si="61"/>
        <v>9.348399999999991</v>
      </c>
      <c r="BV34" s="338">
        <f t="shared" si="46"/>
        <v>1.148613326529929</v>
      </c>
      <c r="BW34" s="92">
        <f t="shared" si="20"/>
        <v>67.2943545361982</v>
      </c>
      <c r="BX34" s="339">
        <f t="shared" si="21"/>
        <v>130.8097604375343</v>
      </c>
      <c r="BY34" s="92">
        <f t="shared" si="22"/>
        <v>261.6195208750686</v>
      </c>
      <c r="BZ34" s="92">
        <f t="shared" si="23"/>
        <v>531.692117421367</v>
      </c>
      <c r="CA34" s="92">
        <f t="shared" si="24"/>
        <v>26.0076504134463</v>
      </c>
      <c r="CB34" s="340">
        <f t="shared" si="25"/>
        <v>0.21083842380401763</v>
      </c>
      <c r="CC34">
        <f t="shared" si="26"/>
        <v>1013</v>
      </c>
      <c r="CD34" s="92">
        <f t="shared" si="47"/>
        <v>507.3155329920793</v>
      </c>
      <c r="CE34" s="340">
        <f t="shared" si="57"/>
        <v>0.9015058491739553</v>
      </c>
      <c r="CF34" s="92">
        <f t="shared" si="27"/>
        <v>287.7381320549055</v>
      </c>
      <c r="CG34" s="360">
        <f t="shared" si="28"/>
        <v>559.3181832600754</v>
      </c>
      <c r="CH34" s="92">
        <f t="shared" si="29"/>
        <v>1035.8572753976598</v>
      </c>
    </row>
    <row r="35" spans="1:86" ht="15.75">
      <c r="A35" s="323">
        <f t="shared" si="48"/>
        <v>9.787994989325707</v>
      </c>
      <c r="B35">
        <f t="shared" si="39"/>
        <v>6096</v>
      </c>
      <c r="C35" s="384">
        <v>20000</v>
      </c>
      <c r="D35" s="325">
        <f t="shared" si="5"/>
        <v>451.58241846809784</v>
      </c>
      <c r="E35" s="326">
        <f t="shared" si="6"/>
        <v>478.94044415566594</v>
      </c>
      <c r="F35" s="327">
        <f t="shared" si="58"/>
        <v>249.23634712167072</v>
      </c>
      <c r="G35" s="328">
        <f t="shared" si="40"/>
        <v>-23.91365287832926</v>
      </c>
      <c r="H35" s="92">
        <f t="shared" si="41"/>
        <v>-11.044575180992666</v>
      </c>
      <c r="I35">
        <f t="shared" si="42"/>
        <v>0.6694221849397087</v>
      </c>
      <c r="J35">
        <f t="shared" si="50"/>
        <v>546.4773252102029</v>
      </c>
      <c r="K35" s="329">
        <f t="shared" si="62"/>
        <v>270.5477474193562</v>
      </c>
      <c r="L35" s="329">
        <f t="shared" si="62"/>
        <v>405.82162112903427</v>
      </c>
      <c r="M35" s="329">
        <f t="shared" si="62"/>
        <v>432.87639587096993</v>
      </c>
      <c r="N35" s="329">
        <f t="shared" si="62"/>
        <v>459.93117061290553</v>
      </c>
      <c r="O35" s="329">
        <f t="shared" si="62"/>
        <v>1352.738737096781</v>
      </c>
      <c r="P35" s="329">
        <f t="shared" si="62"/>
        <v>514.0407200967768</v>
      </c>
      <c r="Q35" s="329">
        <f t="shared" si="62"/>
        <v>541.0954948387124</v>
      </c>
      <c r="R35" s="329">
        <f t="shared" si="62"/>
        <v>568.150269580648</v>
      </c>
      <c r="S35" s="329">
        <f t="shared" si="62"/>
        <v>595.2050443225836</v>
      </c>
      <c r="T35" s="329">
        <f t="shared" si="62"/>
        <v>622.2598190645192</v>
      </c>
      <c r="U35" s="329">
        <f t="shared" si="62"/>
        <v>649.3145938064548</v>
      </c>
      <c r="V35" s="329">
        <f t="shared" si="62"/>
        <v>676.3693685483905</v>
      </c>
      <c r="W35" s="329">
        <f t="shared" si="62"/>
        <v>811.6432422580685</v>
      </c>
      <c r="X35" s="330">
        <f t="shared" si="51"/>
        <v>14.143144415966281</v>
      </c>
      <c r="Y35" s="331">
        <f t="shared" si="43"/>
        <v>359.23586816554354</v>
      </c>
      <c r="Z35" s="286">
        <f t="shared" si="8"/>
        <v>478.77599558268435</v>
      </c>
      <c r="AA35" s="332">
        <f t="shared" si="52"/>
        <v>428.22883443286327</v>
      </c>
      <c r="AB35" s="333">
        <f t="shared" si="59"/>
        <v>224.23634712167072</v>
      </c>
      <c r="AC35" s="334">
        <f t="shared" si="15"/>
        <v>-48.91365287832926</v>
      </c>
      <c r="AD35" s="335">
        <f t="shared" si="9"/>
        <v>50.07156873672666</v>
      </c>
      <c r="AE35" s="336">
        <f t="shared" si="63"/>
        <v>184.6917454996336</v>
      </c>
      <c r="AF35" s="336">
        <f t="shared" si="63"/>
        <v>246.2556606661782</v>
      </c>
      <c r="AG35" s="336">
        <f t="shared" si="63"/>
        <v>307.8195758327227</v>
      </c>
      <c r="AH35" s="336">
        <f t="shared" si="63"/>
        <v>369.3834909992672</v>
      </c>
      <c r="AI35" s="336">
        <f t="shared" si="63"/>
        <v>430.94740616581174</v>
      </c>
      <c r="AJ35" s="336">
        <f t="shared" si="63"/>
        <v>492.5113213323564</v>
      </c>
      <c r="AK35" s="336">
        <f t="shared" si="63"/>
        <v>554.0752364989008</v>
      </c>
      <c r="AL35" s="336">
        <f t="shared" si="63"/>
        <v>615.6391516654454</v>
      </c>
      <c r="AM35" s="336">
        <f t="shared" si="63"/>
        <v>738.7669819985344</v>
      </c>
      <c r="AN35">
        <f t="shared" si="30"/>
        <v>316.71214135677917</v>
      </c>
      <c r="AO35">
        <f t="shared" si="16"/>
        <v>1140.163708884405</v>
      </c>
      <c r="AP35">
        <f t="shared" si="17"/>
        <v>615.6391516654454</v>
      </c>
      <c r="AQ35" s="176">
        <f t="shared" si="31"/>
        <v>62344.90971590141</v>
      </c>
      <c r="AR35">
        <f t="shared" si="32"/>
        <v>1039.0818285983569</v>
      </c>
      <c r="AS35" s="337">
        <f t="shared" si="33"/>
        <v>249.34999999999997</v>
      </c>
      <c r="AT35" s="337">
        <f t="shared" si="18"/>
        <v>-23.80000000000001</v>
      </c>
      <c r="AU35" s="280"/>
      <c r="AV35" s="281">
        <f t="shared" si="54"/>
        <v>36000</v>
      </c>
      <c r="AW35" s="361">
        <f t="shared" si="60"/>
        <v>200</v>
      </c>
      <c r="AX35" s="64">
        <f t="shared" si="4"/>
        <v>20000</v>
      </c>
      <c r="AZ35" s="280">
        <f t="shared" si="55"/>
        <v>6.096</v>
      </c>
      <c r="BA35" s="280">
        <f t="shared" si="44"/>
        <v>248.52599999999998</v>
      </c>
      <c r="BB35" s="280">
        <f t="shared" si="34"/>
        <v>0.5541701302299806</v>
      </c>
      <c r="BC35">
        <f t="shared" si="35"/>
        <v>0.8624882873503383</v>
      </c>
      <c r="BD35">
        <f t="shared" si="11"/>
        <v>465.3088042302858</v>
      </c>
      <c r="BE35">
        <f t="shared" si="12"/>
        <v>0.4592240851026753</v>
      </c>
      <c r="BF35">
        <f t="shared" si="36"/>
        <v>316.71214135677917</v>
      </c>
      <c r="BG35">
        <f t="shared" si="56"/>
        <v>0.9300287557134075</v>
      </c>
      <c r="BH35">
        <f t="shared" si="37"/>
        <v>0.6694221849397087</v>
      </c>
      <c r="BI35">
        <f t="shared" si="19"/>
        <v>0.546477325210203</v>
      </c>
      <c r="BJ35">
        <f t="shared" si="45"/>
        <v>0.7392410467568769</v>
      </c>
      <c r="BM35" s="64">
        <f t="shared" si="38"/>
        <v>6.096</v>
      </c>
      <c r="BN35">
        <f t="shared" si="61"/>
        <v>-49.61312</v>
      </c>
      <c r="BO35">
        <f t="shared" si="61"/>
        <v>-42.154707200000004</v>
      </c>
      <c r="BP35" s="44">
        <f t="shared" si="61"/>
        <v>-31.774579199999998</v>
      </c>
      <c r="BQ35" s="44">
        <f t="shared" si="61"/>
        <v>-24.624000000000002</v>
      </c>
      <c r="BR35" s="44">
        <f t="shared" si="61"/>
        <v>-17.263056603773585</v>
      </c>
      <c r="BS35" s="44">
        <f t="shared" si="61"/>
        <v>-11.600792452830198</v>
      </c>
      <c r="BT35" s="44">
        <f t="shared" si="61"/>
        <v>5.385999999999996</v>
      </c>
      <c r="BV35" s="338">
        <f t="shared" si="46"/>
        <v>1.139750240126781</v>
      </c>
      <c r="BW35" s="92">
        <f t="shared" si="20"/>
        <v>69.59089280842329</v>
      </c>
      <c r="BX35" s="339">
        <f t="shared" si="21"/>
        <v>135.2738737096781</v>
      </c>
      <c r="BY35" s="92">
        <f t="shared" si="22"/>
        <v>270.5477474193562</v>
      </c>
      <c r="BZ35" s="92">
        <f t="shared" si="23"/>
        <v>492.9072428920529</v>
      </c>
      <c r="CA35" s="92">
        <f t="shared" si="24"/>
        <v>27.59843866176715</v>
      </c>
      <c r="CB35" s="340">
        <f t="shared" si="25"/>
        <v>0.21972916008303106</v>
      </c>
      <c r="CC35">
        <f t="shared" si="26"/>
        <v>1013</v>
      </c>
      <c r="CD35" s="92">
        <f t="shared" si="47"/>
        <v>547.6911957697142</v>
      </c>
      <c r="CE35" s="340">
        <f t="shared" si="57"/>
        <v>0.9439772051202211</v>
      </c>
      <c r="CF35" s="92">
        <f t="shared" si="27"/>
        <v>298.9690420256128</v>
      </c>
      <c r="CG35" s="360">
        <f t="shared" si="28"/>
        <v>581.1493257517312</v>
      </c>
      <c r="CH35" s="92">
        <f t="shared" si="29"/>
        <v>1076.2885512922062</v>
      </c>
    </row>
    <row r="36" spans="1:86" ht="15.75">
      <c r="A36" s="323">
        <f t="shared" si="48"/>
        <v>9.78333955394349</v>
      </c>
      <c r="B36">
        <f t="shared" si="39"/>
        <v>7620</v>
      </c>
      <c r="C36" s="384">
        <v>25000</v>
      </c>
      <c r="D36" s="325">
        <f t="shared" si="5"/>
        <v>357.17255583404983</v>
      </c>
      <c r="E36" s="326">
        <f t="shared" si="6"/>
        <v>386.0896377192989</v>
      </c>
      <c r="F36" s="327">
        <f t="shared" si="58"/>
        <v>239.5079339020884</v>
      </c>
      <c r="G36" s="328">
        <f t="shared" si="40"/>
        <v>-33.64206609791157</v>
      </c>
      <c r="H36" s="92">
        <f t="shared" si="41"/>
        <v>-28.55571897624082</v>
      </c>
      <c r="I36">
        <f t="shared" si="42"/>
        <v>0.5615626401872487</v>
      </c>
      <c r="J36">
        <f t="shared" si="50"/>
        <v>458.4270680768467</v>
      </c>
      <c r="K36" s="329">
        <f t="shared" si="62"/>
        <v>295.38937453393595</v>
      </c>
      <c r="L36" s="329">
        <f t="shared" si="62"/>
        <v>443.08406180090395</v>
      </c>
      <c r="M36" s="329">
        <f t="shared" si="62"/>
        <v>472.6229992542975</v>
      </c>
      <c r="N36" s="329">
        <f t="shared" si="62"/>
        <v>502.1619367076911</v>
      </c>
      <c r="O36" s="329">
        <f t="shared" si="62"/>
        <v>1476.9468726696798</v>
      </c>
      <c r="P36" s="329">
        <f t="shared" si="62"/>
        <v>561.2398116144783</v>
      </c>
      <c r="Q36" s="329">
        <f t="shared" si="62"/>
        <v>590.7787490678719</v>
      </c>
      <c r="R36" s="329">
        <f t="shared" si="62"/>
        <v>620.3176865212655</v>
      </c>
      <c r="S36" s="329">
        <f t="shared" si="62"/>
        <v>649.8566239746591</v>
      </c>
      <c r="T36" s="329">
        <f t="shared" si="62"/>
        <v>679.3955614280527</v>
      </c>
      <c r="U36" s="329">
        <f t="shared" si="62"/>
        <v>708.9344988814463</v>
      </c>
      <c r="V36" s="329">
        <f t="shared" si="62"/>
        <v>738.4734363348399</v>
      </c>
      <c r="W36" s="329">
        <f t="shared" si="62"/>
        <v>886.1681236018079</v>
      </c>
      <c r="X36" s="330">
        <f t="shared" si="51"/>
        <v>11.401253684888971</v>
      </c>
      <c r="Y36" s="331">
        <f t="shared" si="43"/>
        <v>289.59184359617984</v>
      </c>
      <c r="Z36" s="286">
        <f t="shared" si="8"/>
        <v>385.913372936846</v>
      </c>
      <c r="AA36" s="332">
        <f t="shared" si="52"/>
        <v>336.4523699457194</v>
      </c>
      <c r="AB36" s="333">
        <f t="shared" si="59"/>
        <v>214.5079339020884</v>
      </c>
      <c r="AC36" s="334">
        <f t="shared" si="15"/>
        <v>-58.64206609791157</v>
      </c>
      <c r="AD36" s="335">
        <f t="shared" si="9"/>
        <v>59.7172366648537</v>
      </c>
      <c r="AE36" s="336">
        <f t="shared" si="63"/>
        <v>181.0513423951416</v>
      </c>
      <c r="AF36" s="336">
        <f t="shared" si="63"/>
        <v>241.40178986018884</v>
      </c>
      <c r="AG36" s="336">
        <f t="shared" si="63"/>
        <v>301.752237325236</v>
      </c>
      <c r="AH36" s="336">
        <f t="shared" si="63"/>
        <v>362.1026847902832</v>
      </c>
      <c r="AI36" s="336">
        <f t="shared" si="63"/>
        <v>422.4531322553304</v>
      </c>
      <c r="AJ36" s="336">
        <f t="shared" si="63"/>
        <v>482.8035797203777</v>
      </c>
      <c r="AK36" s="336">
        <f t="shared" si="63"/>
        <v>543.1540271854249</v>
      </c>
      <c r="AL36" s="336">
        <f t="shared" si="63"/>
        <v>603.504474650472</v>
      </c>
      <c r="AM36" s="336">
        <f t="shared" si="63"/>
        <v>724.2053695805664</v>
      </c>
      <c r="AN36">
        <f t="shared" si="30"/>
        <v>310.46952418129837</v>
      </c>
      <c r="AO36">
        <f t="shared" si="16"/>
        <v>1117.6902870526742</v>
      </c>
      <c r="AP36">
        <f t="shared" si="17"/>
        <v>603.504474650472</v>
      </c>
      <c r="AQ36" s="176">
        <f t="shared" si="31"/>
        <v>61116.04806718472</v>
      </c>
      <c r="AR36">
        <f t="shared" si="32"/>
        <v>1018.6008011197453</v>
      </c>
      <c r="AS36" s="337">
        <f t="shared" si="33"/>
        <v>239.64999999999998</v>
      </c>
      <c r="AT36" s="337">
        <f t="shared" si="18"/>
        <v>-33.5</v>
      </c>
      <c r="AU36" s="280"/>
      <c r="AV36" s="281">
        <f t="shared" si="54"/>
        <v>36000</v>
      </c>
      <c r="AW36" s="361">
        <f t="shared" si="60"/>
        <v>250</v>
      </c>
      <c r="AX36" s="64">
        <f t="shared" si="4"/>
        <v>25000</v>
      </c>
      <c r="AZ36" s="280">
        <f t="shared" si="55"/>
        <v>7.62</v>
      </c>
      <c r="BA36" s="280">
        <f t="shared" si="44"/>
        <v>238.61999999999998</v>
      </c>
      <c r="BB36" s="280">
        <f t="shared" si="34"/>
        <v>0.6927126627874758</v>
      </c>
      <c r="BC36">
        <f t="shared" si="35"/>
        <v>0.828110359187923</v>
      </c>
      <c r="BD36">
        <f t="shared" si="11"/>
        <v>375.6749157561295</v>
      </c>
      <c r="BE36">
        <f t="shared" si="12"/>
        <v>0.37076231508130225</v>
      </c>
      <c r="BF36">
        <f t="shared" si="36"/>
        <v>310.46952418129837</v>
      </c>
      <c r="BG36">
        <f t="shared" si="56"/>
        <v>0.9116972403530056</v>
      </c>
      <c r="BH36">
        <f t="shared" si="37"/>
        <v>0.5615626401872487</v>
      </c>
      <c r="BI36">
        <f t="shared" si="19"/>
        <v>0.4584270680768467</v>
      </c>
      <c r="BJ36">
        <f t="shared" si="45"/>
        <v>0.6770724245432291</v>
      </c>
      <c r="BM36" s="64">
        <f t="shared" si="38"/>
        <v>7.62</v>
      </c>
      <c r="BN36">
        <f t="shared" si="61"/>
        <v>-56.806400000000004</v>
      </c>
      <c r="BO36">
        <f t="shared" si="61"/>
        <v>-49.99904</v>
      </c>
      <c r="BP36" s="44">
        <f t="shared" si="61"/>
        <v>-40.70399999999999</v>
      </c>
      <c r="BQ36" s="44">
        <f t="shared" si="61"/>
        <v>-34.53</v>
      </c>
      <c r="BR36" s="44">
        <f t="shared" si="61"/>
        <v>-27.169056603773583</v>
      </c>
      <c r="BS36" s="44">
        <f t="shared" si="61"/>
        <v>-21.506792452830197</v>
      </c>
      <c r="BT36" s="44">
        <f t="shared" si="61"/>
        <v>-4.520000000000007</v>
      </c>
      <c r="BV36" s="338">
        <f t="shared" si="46"/>
        <v>1.1172849680526085</v>
      </c>
      <c r="BW36" s="92">
        <f t="shared" si="20"/>
        <v>75.98071133845131</v>
      </c>
      <c r="BX36" s="339">
        <f t="shared" si="21"/>
        <v>147.69468726696797</v>
      </c>
      <c r="BY36" s="92">
        <f t="shared" si="22"/>
        <v>295.38937453393595</v>
      </c>
      <c r="BZ36" s="92">
        <f t="shared" si="23"/>
        <v>407.9257290039143</v>
      </c>
      <c r="CA36" s="92">
        <f t="shared" si="24"/>
        <v>32.250813247784784</v>
      </c>
      <c r="CB36" s="340">
        <f t="shared" si="25"/>
        <v>0.24472840462783213</v>
      </c>
      <c r="CC36">
        <f t="shared" si="26"/>
        <v>1013</v>
      </c>
      <c r="CD36" s="92">
        <f t="shared" si="47"/>
        <v>637.3250842438705</v>
      </c>
      <c r="CE36" s="340">
        <f t="shared" si="57"/>
        <v>1.0387711275439584</v>
      </c>
      <c r="CF36" s="92">
        <f t="shared" si="27"/>
        <v>322.5067777018436</v>
      </c>
      <c r="CG36" s="360">
        <f t="shared" si="28"/>
        <v>626.9030236104951</v>
      </c>
      <c r="CH36" s="92">
        <f t="shared" si="29"/>
        <v>1161.024399726637</v>
      </c>
    </row>
    <row r="37" spans="1:86" ht="15.75">
      <c r="A37" s="323">
        <f t="shared" si="48"/>
        <v>9.778687439148216</v>
      </c>
      <c r="B37">
        <f t="shared" si="39"/>
        <v>9144</v>
      </c>
      <c r="C37" s="384">
        <v>30000</v>
      </c>
      <c r="D37" s="325">
        <f t="shared" si="5"/>
        <v>277.8304200527126</v>
      </c>
      <c r="E37" s="326">
        <f t="shared" si="6"/>
        <v>306.8514855627974</v>
      </c>
      <c r="F37" s="327">
        <f t="shared" si="58"/>
        <v>229.77952068250607</v>
      </c>
      <c r="G37" s="328">
        <f t="shared" si="40"/>
        <v>-43.3704793174939</v>
      </c>
      <c r="H37" s="92">
        <f t="shared" si="41"/>
        <v>-46.06686277148903</v>
      </c>
      <c r="I37">
        <f t="shared" si="42"/>
        <v>0.46520768114533145</v>
      </c>
      <c r="J37">
        <f t="shared" si="50"/>
        <v>379.7684853877952</v>
      </c>
      <c r="K37" s="329">
        <f t="shared" si="62"/>
        <v>324.54172068027617</v>
      </c>
      <c r="L37" s="329">
        <f t="shared" si="62"/>
        <v>486.8125810204143</v>
      </c>
      <c r="M37" s="329">
        <f t="shared" si="62"/>
        <v>519.2667530884419</v>
      </c>
      <c r="N37" s="329">
        <f t="shared" si="62"/>
        <v>551.7209251564695</v>
      </c>
      <c r="O37" s="329">
        <f t="shared" si="62"/>
        <v>1622.708603401381</v>
      </c>
      <c r="P37" s="329">
        <f t="shared" si="62"/>
        <v>616.6292692925248</v>
      </c>
      <c r="Q37" s="329">
        <f t="shared" si="62"/>
        <v>649.0834413605523</v>
      </c>
      <c r="R37" s="329">
        <f t="shared" si="62"/>
        <v>681.53761342858</v>
      </c>
      <c r="S37" s="329">
        <f t="shared" si="62"/>
        <v>713.9917854966076</v>
      </c>
      <c r="T37" s="329">
        <f t="shared" si="62"/>
        <v>746.4459575646353</v>
      </c>
      <c r="U37" s="329">
        <f t="shared" si="62"/>
        <v>778.9001296326628</v>
      </c>
      <c r="V37" s="329">
        <f t="shared" si="62"/>
        <v>811.3543017006905</v>
      </c>
      <c r="W37" s="329">
        <f t="shared" si="62"/>
        <v>973.6251620408286</v>
      </c>
      <c r="X37" s="330">
        <f t="shared" si="51"/>
        <v>9.061345575480138</v>
      </c>
      <c r="Y37" s="331">
        <f t="shared" si="43"/>
        <v>230.1581776171955</v>
      </c>
      <c r="Z37" s="286">
        <f t="shared" si="8"/>
        <v>306.671941337902</v>
      </c>
      <c r="AA37" s="332">
        <f t="shared" si="52"/>
        <v>259.71430118840595</v>
      </c>
      <c r="AB37" s="333">
        <f t="shared" si="59"/>
        <v>204.77952068250607</v>
      </c>
      <c r="AC37" s="334">
        <f t="shared" si="15"/>
        <v>-68.3704793174939</v>
      </c>
      <c r="AD37" s="335">
        <f t="shared" si="9"/>
        <v>72.12031180733148</v>
      </c>
      <c r="AE37" s="336">
        <f t="shared" si="63"/>
        <v>177.33622390945442</v>
      </c>
      <c r="AF37" s="336">
        <f t="shared" si="63"/>
        <v>236.44829854593922</v>
      </c>
      <c r="AG37" s="336">
        <f t="shared" si="63"/>
        <v>295.56037318242403</v>
      </c>
      <c r="AH37" s="336">
        <f t="shared" si="63"/>
        <v>354.67244781890884</v>
      </c>
      <c r="AI37" s="336">
        <f t="shared" si="63"/>
        <v>413.78452245539364</v>
      </c>
      <c r="AJ37" s="336">
        <f t="shared" si="63"/>
        <v>472.89659709187845</v>
      </c>
      <c r="AK37" s="336">
        <f t="shared" si="63"/>
        <v>532.0086717283633</v>
      </c>
      <c r="AL37" s="336">
        <f t="shared" si="63"/>
        <v>591.1207463648481</v>
      </c>
      <c r="AM37" s="336">
        <f t="shared" si="63"/>
        <v>709.3448956378177</v>
      </c>
      <c r="AN37">
        <f t="shared" si="30"/>
        <v>304.09878396324956</v>
      </c>
      <c r="AO37">
        <f t="shared" si="16"/>
        <v>1094.7556222676985</v>
      </c>
      <c r="AP37">
        <f t="shared" si="17"/>
        <v>591.1207463648481</v>
      </c>
      <c r="AQ37" s="176">
        <f t="shared" si="31"/>
        <v>59861.96534709637</v>
      </c>
      <c r="AR37">
        <f t="shared" si="32"/>
        <v>997.6994224516061</v>
      </c>
      <c r="AS37" s="337">
        <f t="shared" si="33"/>
        <v>229.95</v>
      </c>
      <c r="AT37" s="337">
        <f t="shared" si="18"/>
        <v>-43.19999999999999</v>
      </c>
      <c r="AU37" s="280"/>
      <c r="AV37" s="281">
        <f t="shared" si="54"/>
        <v>36000</v>
      </c>
      <c r="AW37" s="361">
        <f t="shared" si="60"/>
        <v>300</v>
      </c>
      <c r="AX37" s="64">
        <f t="shared" si="4"/>
        <v>30000</v>
      </c>
      <c r="AZ37" s="280">
        <f t="shared" si="55"/>
        <v>9.144</v>
      </c>
      <c r="BA37" s="280">
        <f t="shared" si="44"/>
        <v>228.71399999999997</v>
      </c>
      <c r="BB37" s="280">
        <f t="shared" si="34"/>
        <v>0.8312551953449709</v>
      </c>
      <c r="BC37">
        <f t="shared" si="35"/>
        <v>0.7937324310255075</v>
      </c>
      <c r="BD37">
        <f t="shared" si="11"/>
        <v>300.5673957291295</v>
      </c>
      <c r="BE37">
        <f t="shared" si="12"/>
        <v>0.296636956061317</v>
      </c>
      <c r="BF37">
        <f t="shared" si="36"/>
        <v>304.09878396324956</v>
      </c>
      <c r="BG37">
        <f t="shared" si="56"/>
        <v>0.8929894902409228</v>
      </c>
      <c r="BH37">
        <f t="shared" si="37"/>
        <v>0.46520768114533145</v>
      </c>
      <c r="BI37">
        <f t="shared" si="19"/>
        <v>0.37976848538779523</v>
      </c>
      <c r="BJ37">
        <f t="shared" si="45"/>
        <v>0.6162535885394869</v>
      </c>
      <c r="BM37" s="64">
        <f t="shared" si="38"/>
        <v>9.144</v>
      </c>
      <c r="BN37">
        <f t="shared" si="61"/>
        <v>-63.99968</v>
      </c>
      <c r="BO37">
        <f t="shared" si="61"/>
        <v>-57.8433728</v>
      </c>
      <c r="BP37" s="44">
        <f t="shared" si="61"/>
        <v>-49.633420799999996</v>
      </c>
      <c r="BQ37" s="44">
        <f t="shared" si="61"/>
        <v>-44.436</v>
      </c>
      <c r="BR37" s="44">
        <f t="shared" si="61"/>
        <v>-37.07505660377359</v>
      </c>
      <c r="BS37" s="44">
        <f t="shared" si="61"/>
        <v>-31.412792452830196</v>
      </c>
      <c r="BT37" s="44">
        <f t="shared" si="61"/>
        <v>-14.426000000000005</v>
      </c>
      <c r="BV37" s="338">
        <f t="shared" si="46"/>
        <v>1.0943586202902509</v>
      </c>
      <c r="BW37" s="92">
        <f t="shared" si="20"/>
        <v>83.47934259720438</v>
      </c>
      <c r="BX37" s="339">
        <f t="shared" si="21"/>
        <v>162.27086034013809</v>
      </c>
      <c r="BY37" s="92">
        <f t="shared" si="22"/>
        <v>324.54172068027617</v>
      </c>
      <c r="BZ37" s="92">
        <f t="shared" si="23"/>
        <v>338.6992309989954</v>
      </c>
      <c r="CA37" s="92">
        <f t="shared" si="24"/>
        <v>38.13183526986589</v>
      </c>
      <c r="CB37" s="340">
        <f t="shared" si="25"/>
        <v>0.27451389811309757</v>
      </c>
      <c r="CC37">
        <f t="shared" si="26"/>
        <v>1013</v>
      </c>
      <c r="CD37" s="92">
        <f t="shared" si="47"/>
        <v>712.4326042708706</v>
      </c>
      <c r="CE37" s="340">
        <f t="shared" si="57"/>
        <v>1.1212838057555787</v>
      </c>
      <c r="CF37" s="92">
        <f t="shared" si="27"/>
        <v>340.98104180795605</v>
      </c>
      <c r="CG37" s="360">
        <f t="shared" si="28"/>
        <v>662.814120145055</v>
      </c>
      <c r="CH37" s="92">
        <f t="shared" si="29"/>
        <v>1227.5317505086418</v>
      </c>
    </row>
    <row r="38" spans="1:86" ht="15.75">
      <c r="A38" s="323">
        <f t="shared" si="48"/>
        <v>9.774038641782669</v>
      </c>
      <c r="B38">
        <f t="shared" si="39"/>
        <v>10668</v>
      </c>
      <c r="C38" s="384">
        <v>35000</v>
      </c>
      <c r="D38" s="325">
        <f t="shared" si="5"/>
        <v>211.99483272661558</v>
      </c>
      <c r="E38" s="326">
        <f t="shared" si="6"/>
        <v>239.9559398752058</v>
      </c>
      <c r="F38" s="327">
        <f t="shared" si="58"/>
        <v>220.05110746292377</v>
      </c>
      <c r="G38" s="328">
        <f t="shared" si="40"/>
        <v>-53.09889253707621</v>
      </c>
      <c r="H38" s="92">
        <f t="shared" si="41"/>
        <v>-63.57800656673719</v>
      </c>
      <c r="I38">
        <f t="shared" si="42"/>
        <v>0.37987255006363624</v>
      </c>
      <c r="J38">
        <f t="shared" si="50"/>
        <v>310.105849118597</v>
      </c>
      <c r="K38" s="329">
        <f t="shared" si="62"/>
        <v>359.1492937444475</v>
      </c>
      <c r="L38" s="329">
        <f t="shared" si="62"/>
        <v>538.7239406166713</v>
      </c>
      <c r="M38" s="329">
        <f t="shared" si="62"/>
        <v>574.638869991116</v>
      </c>
      <c r="N38" s="329">
        <f t="shared" si="62"/>
        <v>610.5537993655607</v>
      </c>
      <c r="O38" s="329">
        <f t="shared" si="62"/>
        <v>1795.7464687222375</v>
      </c>
      <c r="P38" s="329">
        <f t="shared" si="62"/>
        <v>682.3836581144502</v>
      </c>
      <c r="Q38" s="329">
        <f t="shared" si="62"/>
        <v>718.298587488895</v>
      </c>
      <c r="R38" s="329">
        <f t="shared" si="62"/>
        <v>754.2135168633398</v>
      </c>
      <c r="S38" s="329">
        <f t="shared" si="62"/>
        <v>790.1284462377845</v>
      </c>
      <c r="T38" s="329">
        <f t="shared" si="62"/>
        <v>826.0433756122293</v>
      </c>
      <c r="U38" s="329">
        <f t="shared" si="62"/>
        <v>861.958304986674</v>
      </c>
      <c r="V38" s="329">
        <f t="shared" si="62"/>
        <v>897.8732343611188</v>
      </c>
      <c r="W38" s="329">
        <f t="shared" si="62"/>
        <v>1077.4478812333425</v>
      </c>
      <c r="X38" s="330">
        <f t="shared" si="51"/>
        <v>7.085915488107999</v>
      </c>
      <c r="Y38" s="331">
        <f t="shared" si="43"/>
        <v>179.98225339794317</v>
      </c>
      <c r="Z38" s="286">
        <f t="shared" si="8"/>
        <v>239.78017955241694</v>
      </c>
      <c r="AA38" s="332">
        <f t="shared" si="52"/>
        <v>196.4125383979669</v>
      </c>
      <c r="AB38" s="333">
        <f t="shared" si="59"/>
        <v>195.05110746292377</v>
      </c>
      <c r="AC38" s="334">
        <f t="shared" si="15"/>
        <v>-78.09889253707621</v>
      </c>
      <c r="AD38" s="335">
        <f t="shared" si="9"/>
        <v>88.3635333507779</v>
      </c>
      <c r="AE38" s="336">
        <f t="shared" si="63"/>
        <v>173.54159166564511</v>
      </c>
      <c r="AF38" s="336">
        <f t="shared" si="63"/>
        <v>231.38878888752686</v>
      </c>
      <c r="AG38" s="336">
        <f t="shared" si="63"/>
        <v>289.23598610940854</v>
      </c>
      <c r="AH38" s="336">
        <f t="shared" si="63"/>
        <v>347.08318333129023</v>
      </c>
      <c r="AI38" s="336">
        <f t="shared" si="63"/>
        <v>404.9303805531719</v>
      </c>
      <c r="AJ38" s="336">
        <f t="shared" si="63"/>
        <v>462.7775777750537</v>
      </c>
      <c r="AK38" s="336">
        <f t="shared" si="63"/>
        <v>520.6247749969353</v>
      </c>
      <c r="AL38" s="336">
        <f t="shared" si="63"/>
        <v>578.4719722188171</v>
      </c>
      <c r="AM38" s="336">
        <f t="shared" si="63"/>
        <v>694.1663666625805</v>
      </c>
      <c r="AN38">
        <f t="shared" si="30"/>
        <v>297.5916923747914</v>
      </c>
      <c r="AO38">
        <f t="shared" si="16"/>
        <v>1071.3300925492492</v>
      </c>
      <c r="AP38">
        <f t="shared" si="17"/>
        <v>578.4719722188171</v>
      </c>
      <c r="AQ38" s="176">
        <f t="shared" si="31"/>
        <v>58581.0418060613</v>
      </c>
      <c r="AR38">
        <f t="shared" si="32"/>
        <v>976.3506967676883</v>
      </c>
      <c r="AS38" s="337">
        <f t="shared" si="33"/>
        <v>220.24999999999997</v>
      </c>
      <c r="AT38" s="337">
        <f t="shared" si="18"/>
        <v>-52.900000000000006</v>
      </c>
      <c r="AU38" s="280"/>
      <c r="AV38" s="281">
        <f t="shared" si="54"/>
        <v>36000</v>
      </c>
      <c r="AW38" s="361">
        <f t="shared" si="60"/>
        <v>350</v>
      </c>
      <c r="AX38" s="64">
        <f t="shared" si="4"/>
        <v>35000</v>
      </c>
      <c r="AZ38" s="280">
        <f t="shared" si="55"/>
        <v>10.668</v>
      </c>
      <c r="BA38" s="280">
        <f t="shared" si="44"/>
        <v>218.808</v>
      </c>
      <c r="BB38" s="280">
        <f t="shared" si="34"/>
        <v>0.9697977279024661</v>
      </c>
      <c r="BC38">
        <f t="shared" si="35"/>
        <v>0.7593545028630921</v>
      </c>
      <c r="BD38">
        <f t="shared" si="11"/>
        <v>238.11190505930924</v>
      </c>
      <c r="BE38">
        <f t="shared" si="12"/>
        <v>0.23499817918510657</v>
      </c>
      <c r="BF38">
        <f t="shared" si="36"/>
        <v>297.5916923747914</v>
      </c>
      <c r="BG38">
        <f t="shared" si="56"/>
        <v>0.8738813428001541</v>
      </c>
      <c r="BH38">
        <f t="shared" si="37"/>
        <v>0.37987255006363624</v>
      </c>
      <c r="BI38">
        <f t="shared" si="19"/>
        <v>0.310105849118597</v>
      </c>
      <c r="BJ38">
        <f t="shared" si="45"/>
        <v>0.5568714834848315</v>
      </c>
      <c r="BM38" s="64">
        <f t="shared" si="38"/>
        <v>10.668</v>
      </c>
      <c r="BN38">
        <f t="shared" si="61"/>
        <v>-71.19296</v>
      </c>
      <c r="BO38">
        <f t="shared" si="61"/>
        <v>-65.6877056</v>
      </c>
      <c r="BP38" s="44">
        <f t="shared" si="61"/>
        <v>-58.56284159999999</v>
      </c>
      <c r="BQ38" s="44">
        <f t="shared" si="61"/>
        <v>-54.342</v>
      </c>
      <c r="BR38" s="44">
        <f t="shared" si="61"/>
        <v>-46.98105660377358</v>
      </c>
      <c r="BS38" s="44">
        <f t="shared" si="61"/>
        <v>-41.31879245283019</v>
      </c>
      <c r="BT38" s="44">
        <f t="shared" si="61"/>
        <v>-24.332</v>
      </c>
      <c r="BV38" s="338">
        <f t="shared" si="46"/>
        <v>1.070941585601589</v>
      </c>
      <c r="BW38" s="92">
        <f t="shared" si="20"/>
        <v>92.38117944648845</v>
      </c>
      <c r="BX38" s="339">
        <f t="shared" si="21"/>
        <v>179.57464687222375</v>
      </c>
      <c r="BY38" s="92">
        <f t="shared" si="22"/>
        <v>359.1492937444475</v>
      </c>
      <c r="BZ38" s="92">
        <f t="shared" si="23"/>
        <v>283.8104942362471</v>
      </c>
      <c r="CA38" s="92">
        <f t="shared" si="24"/>
        <v>45.69858917693785</v>
      </c>
      <c r="CB38" s="340">
        <f t="shared" si="25"/>
        <v>0.31042929562073324</v>
      </c>
      <c r="CC38">
        <f t="shared" si="26"/>
        <v>1013</v>
      </c>
      <c r="CD38" s="92">
        <f t="shared" si="47"/>
        <v>774.8880949406907</v>
      </c>
      <c r="CE38" s="340">
        <f t="shared" si="57"/>
        <v>1.1949700792318818</v>
      </c>
      <c r="CF38" s="92">
        <f t="shared" si="27"/>
        <v>355.6131682158543</v>
      </c>
      <c r="CG38" s="360">
        <f t="shared" si="28"/>
        <v>691.2566984757426</v>
      </c>
      <c r="CH38" s="92">
        <f t="shared" si="29"/>
        <v>1280.2074055770754</v>
      </c>
    </row>
    <row r="39" spans="1:86" s="415" customFormat="1" ht="16.5" thickBot="1">
      <c r="A39" s="323">
        <f t="shared" si="48"/>
        <v>9.77310928012355</v>
      </c>
      <c r="B39" s="415">
        <f t="shared" si="39"/>
        <v>10972.800000000001</v>
      </c>
      <c r="C39" s="416">
        <v>36000</v>
      </c>
      <c r="D39" s="325">
        <f t="shared" si="5"/>
        <v>200.31553046662367</v>
      </c>
      <c r="E39" s="417">
        <f t="shared" si="6"/>
        <v>227.94908465525026</v>
      </c>
      <c r="F39" s="418">
        <f t="shared" si="58"/>
        <v>218.1054248190073</v>
      </c>
      <c r="G39" s="419">
        <f t="shared" si="40"/>
        <v>-55.044575180992666</v>
      </c>
      <c r="H39" s="420">
        <f t="shared" si="41"/>
        <v>-67.0802353257868</v>
      </c>
      <c r="I39" s="415">
        <f t="shared" si="42"/>
        <v>0.3640837961707665</v>
      </c>
      <c r="J39" s="415">
        <f t="shared" si="50"/>
        <v>297.2168290205333</v>
      </c>
      <c r="K39" s="421">
        <f t="shared" si="62"/>
        <v>366.8540326722262</v>
      </c>
      <c r="L39" s="421">
        <f t="shared" si="62"/>
        <v>550.2810490083393</v>
      </c>
      <c r="M39" s="421">
        <f t="shared" si="62"/>
        <v>586.9664522755619</v>
      </c>
      <c r="N39" s="421">
        <f t="shared" si="62"/>
        <v>623.6518555427846</v>
      </c>
      <c r="O39" s="421">
        <f t="shared" si="62"/>
        <v>1834.2701633611312</v>
      </c>
      <c r="P39" s="421">
        <f t="shared" si="62"/>
        <v>697.0226620772298</v>
      </c>
      <c r="Q39" s="421">
        <f t="shared" si="62"/>
        <v>733.7080653444524</v>
      </c>
      <c r="R39" s="421">
        <f t="shared" si="62"/>
        <v>770.3934686116751</v>
      </c>
      <c r="S39" s="421">
        <f t="shared" si="62"/>
        <v>807.0788718788976</v>
      </c>
      <c r="T39" s="421">
        <f t="shared" si="62"/>
        <v>843.7642751461203</v>
      </c>
      <c r="U39" s="421">
        <f t="shared" si="62"/>
        <v>880.4496784133429</v>
      </c>
      <c r="V39" s="421">
        <f t="shared" si="62"/>
        <v>917.1350816805656</v>
      </c>
      <c r="W39" s="421">
        <f t="shared" si="62"/>
        <v>1100.5620980166786</v>
      </c>
      <c r="X39" s="330">
        <f t="shared" si="51"/>
        <v>6.731352223657031</v>
      </c>
      <c r="Y39" s="422">
        <f t="shared" si="43"/>
        <v>170.97634648088857</v>
      </c>
      <c r="Z39" s="423">
        <f t="shared" si="8"/>
        <v>227.77480407245486</v>
      </c>
      <c r="AA39" s="332">
        <f t="shared" si="52"/>
        <v>185.2282112805098</v>
      </c>
      <c r="AB39" s="415">
        <f t="shared" si="59"/>
        <v>193.1054248190073</v>
      </c>
      <c r="AC39" s="424">
        <f t="shared" si="15"/>
        <v>-80.04457518099267</v>
      </c>
      <c r="AD39" s="335">
        <f t="shared" si="9"/>
        <v>92.20424830876127</v>
      </c>
      <c r="AE39" s="425">
        <f t="shared" si="63"/>
        <v>172.77266445627842</v>
      </c>
      <c r="AF39" s="425">
        <f t="shared" si="63"/>
        <v>230.36355260837124</v>
      </c>
      <c r="AG39" s="425">
        <f t="shared" si="63"/>
        <v>287.954440760464</v>
      </c>
      <c r="AH39" s="425">
        <f t="shared" si="63"/>
        <v>345.54532891255684</v>
      </c>
      <c r="AI39" s="425">
        <f t="shared" si="63"/>
        <v>403.1362170646496</v>
      </c>
      <c r="AJ39" s="425">
        <f t="shared" si="63"/>
        <v>460.7271052167425</v>
      </c>
      <c r="AK39" s="425">
        <f t="shared" si="63"/>
        <v>518.3179933688352</v>
      </c>
      <c r="AL39" s="425">
        <f t="shared" si="63"/>
        <v>575.908881520928</v>
      </c>
      <c r="AM39" s="425">
        <f t="shared" si="63"/>
        <v>691.0906578251137</v>
      </c>
      <c r="AN39" s="415">
        <f t="shared" si="30"/>
        <v>296.2731246046552</v>
      </c>
      <c r="AO39" s="415">
        <f t="shared" si="16"/>
        <v>1066.5832485767587</v>
      </c>
      <c r="AP39" s="415">
        <f t="shared" si="17"/>
        <v>575.908881520928</v>
      </c>
      <c r="AQ39" s="176">
        <f t="shared" si="31"/>
        <v>58321.481221388814</v>
      </c>
      <c r="AR39" s="415">
        <f t="shared" si="32"/>
        <v>972.024687023147</v>
      </c>
      <c r="AS39" s="426">
        <f t="shared" si="33"/>
        <v>218.30999999999997</v>
      </c>
      <c r="AT39" s="426">
        <f t="shared" si="18"/>
        <v>-54.84</v>
      </c>
      <c r="AU39" s="427"/>
      <c r="AV39" s="281">
        <f t="shared" si="54"/>
        <v>36000</v>
      </c>
      <c r="AW39" s="361">
        <f t="shared" si="60"/>
        <v>360</v>
      </c>
      <c r="AX39" s="64">
        <f t="shared" si="4"/>
        <v>36000</v>
      </c>
      <c r="AY39" s="251"/>
      <c r="AZ39" s="280">
        <f t="shared" si="55"/>
        <v>10.972800000000001</v>
      </c>
      <c r="BA39" s="280">
        <f t="shared" si="44"/>
        <v>216.82679999999996</v>
      </c>
      <c r="BB39" s="280">
        <f t="shared" si="34"/>
        <v>0.9975062344139651</v>
      </c>
      <c r="BC39">
        <f t="shared" si="35"/>
        <v>0.752478917230609</v>
      </c>
      <c r="BD39">
        <f t="shared" si="11"/>
        <v>226.98651636700959</v>
      </c>
      <c r="BE39">
        <f t="shared" si="12"/>
        <v>0.2240182742334168</v>
      </c>
      <c r="BF39">
        <f t="shared" si="36"/>
        <v>296.2731246046552</v>
      </c>
      <c r="BG39">
        <f t="shared" si="56"/>
        <v>0.8700093537525282</v>
      </c>
      <c r="BH39">
        <f t="shared" si="37"/>
        <v>0.3640837961707665</v>
      </c>
      <c r="BI39">
        <f t="shared" si="19"/>
        <v>0.2972168290205333</v>
      </c>
      <c r="BJ39">
        <f t="shared" si="45"/>
        <v>0.545175961521171</v>
      </c>
      <c r="BK39" s="251"/>
      <c r="BL39" s="428"/>
      <c r="BM39" s="64">
        <f t="shared" si="38"/>
        <v>10.972800000000001</v>
      </c>
      <c r="BN39">
        <f t="shared" si="61"/>
        <v>-72.63161600000001</v>
      </c>
      <c r="BO39">
        <f t="shared" si="61"/>
        <v>-67.25657216</v>
      </c>
      <c r="BP39" s="44">
        <f t="shared" si="61"/>
        <v>-60.34872576</v>
      </c>
      <c r="BQ39" s="44">
        <f t="shared" si="61"/>
        <v>-56.32320000000001</v>
      </c>
      <c r="BR39" s="44">
        <f t="shared" si="61"/>
        <v>-48.96225660377359</v>
      </c>
      <c r="BS39" s="44">
        <f t="shared" si="61"/>
        <v>-43.2999924528302</v>
      </c>
      <c r="BT39" s="44">
        <f t="shared" si="61"/>
        <v>-26.313200000000013</v>
      </c>
      <c r="BU39" s="428"/>
      <c r="BV39" s="338">
        <f t="shared" si="46"/>
        <v>1.0661964630237233</v>
      </c>
      <c r="BW39" s="92">
        <f t="shared" si="20"/>
        <v>94.36300951513374</v>
      </c>
      <c r="BX39" s="339">
        <f t="shared" si="21"/>
        <v>183.4270163361131</v>
      </c>
      <c r="BY39" s="92">
        <f t="shared" si="22"/>
        <v>366.8540326722262</v>
      </c>
      <c r="BZ39" s="92">
        <f t="shared" si="23"/>
        <v>274.455595691848</v>
      </c>
      <c r="CA39" s="92">
        <f t="shared" si="24"/>
        <v>47.46907932483838</v>
      </c>
      <c r="CB39" s="340">
        <f t="shared" si="25"/>
        <v>0.3185000652389618</v>
      </c>
      <c r="CC39">
        <f t="shared" si="26"/>
        <v>1013</v>
      </c>
      <c r="CD39" s="92">
        <f t="shared" si="47"/>
        <v>786.0134836329904</v>
      </c>
      <c r="CE39" s="340">
        <f t="shared" si="57"/>
        <v>1.2088741206664515</v>
      </c>
      <c r="CF39" s="92">
        <f t="shared" si="27"/>
        <v>358.1569129835546</v>
      </c>
      <c r="CG39" s="360">
        <f t="shared" si="28"/>
        <v>696.2013427326116</v>
      </c>
      <c r="CH39" s="92">
        <f t="shared" si="29"/>
        <v>1289.3648867407967</v>
      </c>
    </row>
    <row r="40" spans="1:86" s="430" customFormat="1" ht="15.75" customHeight="1" thickBot="1" thickTop="1">
      <c r="A40" s="429">
        <f t="shared" si="48"/>
        <v>9.773025644075977</v>
      </c>
      <c r="B40" s="430">
        <f t="shared" si="39"/>
        <v>11000.232</v>
      </c>
      <c r="C40" s="430">
        <v>36090</v>
      </c>
      <c r="D40" s="431">
        <f t="shared" si="5"/>
        <v>199.28754352496753</v>
      </c>
      <c r="E40" s="432">
        <f t="shared" si="6"/>
        <v>226.8899372952604</v>
      </c>
      <c r="F40" s="433">
        <f t="shared" si="58"/>
        <v>217.9317943468468</v>
      </c>
      <c r="G40" s="433">
        <f t="shared" si="40"/>
        <v>-55.21820565315318</v>
      </c>
      <c r="H40" s="433">
        <f t="shared" si="41"/>
        <v>-67.39277017567572</v>
      </c>
      <c r="I40" s="430">
        <f t="shared" si="42"/>
        <v>0.36268083445765636</v>
      </c>
      <c r="J40" s="430">
        <f t="shared" si="50"/>
        <v>296.0715327014073</v>
      </c>
      <c r="K40" s="434">
        <f t="shared" si="62"/>
        <v>367.56290027177187</v>
      </c>
      <c r="L40" s="434">
        <f t="shared" si="62"/>
        <v>551.3443504076578</v>
      </c>
      <c r="M40" s="434">
        <f t="shared" si="62"/>
        <v>588.100640434835</v>
      </c>
      <c r="N40" s="434">
        <f t="shared" si="62"/>
        <v>624.8569304620122</v>
      </c>
      <c r="O40" s="434">
        <f t="shared" si="62"/>
        <v>1837.8145013588594</v>
      </c>
      <c r="P40" s="434">
        <f t="shared" si="62"/>
        <v>698.3695105163665</v>
      </c>
      <c r="Q40" s="434">
        <f t="shared" si="62"/>
        <v>735.1258005435437</v>
      </c>
      <c r="R40" s="434">
        <f t="shared" si="62"/>
        <v>771.882090570721</v>
      </c>
      <c r="S40" s="434">
        <f t="shared" si="62"/>
        <v>808.6383805978982</v>
      </c>
      <c r="T40" s="434">
        <f t="shared" si="62"/>
        <v>845.3946706250753</v>
      </c>
      <c r="U40" s="434">
        <f t="shared" si="62"/>
        <v>882.1509606522525</v>
      </c>
      <c r="V40" s="434">
        <f t="shared" si="62"/>
        <v>918.9072506794297</v>
      </c>
      <c r="W40" s="434">
        <f t="shared" si="62"/>
        <v>1102.6887008153155</v>
      </c>
      <c r="X40" s="435">
        <f aca="true" t="shared" si="64" ref="X40:X45">Y40/25.4</f>
        <v>6.700075528917805</v>
      </c>
      <c r="Y40" s="436">
        <f t="shared" si="43"/>
        <v>170.18191843451223</v>
      </c>
      <c r="Z40" s="430">
        <f>$C$3*POWER(1-0.00003173*$C40*E$6,$F$3/($F$3-1))</f>
        <v>226.71580061365572</v>
      </c>
      <c r="AA40" s="437">
        <f t="shared" si="52"/>
        <v>184.2445504677211</v>
      </c>
      <c r="AB40" s="438">
        <f t="shared" si="59"/>
        <v>192.9317943468468</v>
      </c>
      <c r="AC40" s="439">
        <f t="shared" si="15"/>
        <v>-80.21820565315318</v>
      </c>
      <c r="AD40" s="440">
        <f t="shared" si="9"/>
        <v>92.56171499945933</v>
      </c>
      <c r="AE40" s="441">
        <f t="shared" si="63"/>
        <v>172.703879894712</v>
      </c>
      <c r="AF40" s="441">
        <f t="shared" si="63"/>
        <v>230.27183985961602</v>
      </c>
      <c r="AG40" s="441">
        <f t="shared" si="63"/>
        <v>287.83979982452</v>
      </c>
      <c r="AH40" s="441">
        <f t="shared" si="63"/>
        <v>345.407759789424</v>
      </c>
      <c r="AI40" s="441">
        <f t="shared" si="63"/>
        <v>402.975719754328</v>
      </c>
      <c r="AJ40" s="441">
        <f t="shared" si="63"/>
        <v>460.54367971923205</v>
      </c>
      <c r="AK40" s="441">
        <f t="shared" si="63"/>
        <v>518.1116396841361</v>
      </c>
      <c r="AL40" s="441">
        <f t="shared" si="63"/>
        <v>575.67959964904</v>
      </c>
      <c r="AM40" s="441">
        <f t="shared" si="63"/>
        <v>690.815519578848</v>
      </c>
      <c r="AN40" s="430">
        <f t="shared" si="30"/>
        <v>296.1551718194506</v>
      </c>
      <c r="AO40" s="430">
        <f t="shared" si="16"/>
        <v>1066.158618550022</v>
      </c>
      <c r="AP40" s="430">
        <f t="shared" si="17"/>
        <v>575.67959964904</v>
      </c>
      <c r="AQ40" s="434">
        <f t="shared" si="31"/>
        <v>58298.26216918318</v>
      </c>
      <c r="AR40" s="430">
        <f t="shared" si="32"/>
        <v>971.6377028197197</v>
      </c>
      <c r="AS40" s="442">
        <f t="shared" si="33"/>
        <v>218.1354</v>
      </c>
      <c r="AT40" s="442">
        <f t="shared" si="18"/>
        <v>-55.01459999999997</v>
      </c>
      <c r="AU40" s="443"/>
      <c r="AV40" s="444">
        <f t="shared" si="54"/>
        <v>36000</v>
      </c>
      <c r="AW40" s="445">
        <f t="shared" si="60"/>
        <v>360.9</v>
      </c>
      <c r="AX40" s="430">
        <f t="shared" si="4"/>
        <v>36090</v>
      </c>
      <c r="AY40" s="446"/>
      <c r="AZ40" s="447">
        <f t="shared" si="55"/>
        <v>11.000232</v>
      </c>
      <c r="BA40" s="448">
        <f t="shared" si="44"/>
        <v>216.64999999999998</v>
      </c>
      <c r="BB40" s="448">
        <f t="shared" si="34"/>
        <v>1</v>
      </c>
      <c r="BC40" s="430">
        <f t="shared" si="35"/>
        <v>0.7518653479090751</v>
      </c>
      <c r="BD40" s="430">
        <f t="shared" si="11"/>
        <v>226.00625514198853</v>
      </c>
      <c r="BE40" s="430">
        <f t="shared" si="12"/>
        <v>0.223050831622984</v>
      </c>
      <c r="BF40" s="430">
        <f t="shared" si="36"/>
        <v>296.1551718194506</v>
      </c>
      <c r="BG40" s="430">
        <f t="shared" si="56"/>
        <v>0.8696629840756764</v>
      </c>
      <c r="BH40" s="430">
        <f t="shared" si="37"/>
        <v>0.36268083445765636</v>
      </c>
      <c r="BI40" s="430">
        <f t="shared" si="19"/>
        <v>0.2960715327014073</v>
      </c>
      <c r="BJ40" s="430">
        <f t="shared" si="45"/>
        <v>0.5441245562381901</v>
      </c>
      <c r="BK40" s="446"/>
      <c r="BL40" s="449"/>
      <c r="BM40" s="450">
        <f t="shared" si="38"/>
        <v>11.000232</v>
      </c>
      <c r="BN40" s="450">
        <f t="shared" si="61"/>
        <v>-72.76109504</v>
      </c>
      <c r="BO40" s="450">
        <f t="shared" si="61"/>
        <v>-67.3977701504</v>
      </c>
      <c r="BP40" s="451">
        <f t="shared" si="61"/>
        <v>-60.5094553344</v>
      </c>
      <c r="BQ40" s="451">
        <f t="shared" si="61"/>
        <v>-56.5</v>
      </c>
      <c r="BR40" s="451">
        <f t="shared" si="61"/>
        <v>-49.14056460377358</v>
      </c>
      <c r="BS40" s="451">
        <f t="shared" si="61"/>
        <v>-43.4783004528302</v>
      </c>
      <c r="BT40" s="451">
        <f t="shared" si="61"/>
        <v>-26.49150800000001</v>
      </c>
      <c r="BU40" s="449"/>
      <c r="BV40" s="338">
        <f t="shared" si="46"/>
        <v>1.0657719869847415</v>
      </c>
      <c r="BW40" s="92">
        <f t="shared" si="20"/>
        <v>94.5453460143502</v>
      </c>
      <c r="BX40" s="339">
        <f t="shared" si="21"/>
        <v>183.78145013588593</v>
      </c>
      <c r="BY40" s="92">
        <f t="shared" si="22"/>
        <v>367.56290027177187</v>
      </c>
      <c r="BZ40" s="92">
        <f t="shared" si="23"/>
        <v>273.6399879770339</v>
      </c>
      <c r="CA40" s="92">
        <f t="shared" si="24"/>
        <v>47.633732835045365</v>
      </c>
      <c r="CB40" s="340">
        <f t="shared" si="25"/>
        <v>0.3192425964858357</v>
      </c>
      <c r="CC40">
        <f t="shared" si="26"/>
        <v>1013</v>
      </c>
      <c r="CD40" s="92">
        <f t="shared" si="47"/>
        <v>786.9937448580115</v>
      </c>
      <c r="CE40" s="340">
        <f t="shared" si="57"/>
        <v>1.2101094684964082</v>
      </c>
      <c r="CF40" s="92">
        <f t="shared" si="27"/>
        <v>358.38017756289776</v>
      </c>
      <c r="CG40" s="360">
        <f t="shared" si="28"/>
        <v>696.6353343555247</v>
      </c>
      <c r="CH40" s="92">
        <f t="shared" si="29"/>
        <v>1290.1686392264319</v>
      </c>
    </row>
    <row r="41" spans="1:86" s="460" customFormat="1" ht="17.25" thickBot="1" thickTop="1">
      <c r="A41" s="323">
        <f t="shared" si="48"/>
        <v>9.77302378550934</v>
      </c>
      <c r="B41" s="452">
        <f>C41*E$6</f>
        <v>11000.8416</v>
      </c>
      <c r="C41" s="453">
        <v>36092</v>
      </c>
      <c r="D41" s="325">
        <f t="shared" si="5"/>
        <v>199.26474240210374</v>
      </c>
      <c r="E41" s="326">
        <f t="shared" si="6"/>
        <v>226.86644063482203</v>
      </c>
      <c r="F41" s="454">
        <f>IF(B41&gt;B$62,$F$62,$E$3+$B41*($AA$6))</f>
        <v>217.9317943468468</v>
      </c>
      <c r="G41" s="455">
        <f t="shared" si="40"/>
        <v>-55.21820565315318</v>
      </c>
      <c r="H41" s="456">
        <f t="shared" si="41"/>
        <v>-67.39277017567572</v>
      </c>
      <c r="I41" s="452">
        <f>$H$3*E41*100/($G$3*F41)</f>
        <v>0.36264327532869567</v>
      </c>
      <c r="J41">
        <f t="shared" si="50"/>
        <v>296.04087161369097</v>
      </c>
      <c r="K41" s="329">
        <f t="shared" si="62"/>
        <v>367.5819341073257</v>
      </c>
      <c r="L41" s="329">
        <f t="shared" si="62"/>
        <v>551.3729011609885</v>
      </c>
      <c r="M41" s="329">
        <f t="shared" si="62"/>
        <v>588.1310945717211</v>
      </c>
      <c r="N41" s="329">
        <f t="shared" si="62"/>
        <v>624.8892879824537</v>
      </c>
      <c r="O41" s="329">
        <f t="shared" si="62"/>
        <v>1837.9096705366285</v>
      </c>
      <c r="P41" s="329">
        <f t="shared" si="62"/>
        <v>698.4056748039188</v>
      </c>
      <c r="Q41" s="329">
        <f t="shared" si="62"/>
        <v>735.1638682146514</v>
      </c>
      <c r="R41" s="329">
        <f t="shared" si="62"/>
        <v>771.9220616253839</v>
      </c>
      <c r="S41" s="329">
        <f t="shared" si="62"/>
        <v>808.6802550361165</v>
      </c>
      <c r="T41" s="329">
        <f t="shared" si="62"/>
        <v>845.4384484468491</v>
      </c>
      <c r="U41" s="329">
        <f t="shared" si="62"/>
        <v>882.1966418575817</v>
      </c>
      <c r="V41" s="329">
        <f t="shared" si="62"/>
        <v>918.9548352683142</v>
      </c>
      <c r="W41" s="329">
        <f t="shared" si="62"/>
        <v>1102.745802321977</v>
      </c>
      <c r="X41" s="330">
        <f t="shared" si="64"/>
        <v>6.6993816709111815</v>
      </c>
      <c r="Y41" s="457">
        <f>E41/G$6</f>
        <v>170.164294441144</v>
      </c>
      <c r="Z41" s="286">
        <f>$C$3*POWER(1-0.00003173*$C41*E$6,$F$3/($F$3-1))</f>
        <v>226.69230717077465</v>
      </c>
      <c r="AA41" s="332">
        <f t="shared" si="52"/>
        <v>184.22273394482102</v>
      </c>
      <c r="AB41" s="458">
        <f>$Y$2+F41</f>
        <v>192.9317943468468</v>
      </c>
      <c r="AC41" s="459">
        <f t="shared" si="15"/>
        <v>-80.21820565315318</v>
      </c>
      <c r="AD41" s="335">
        <f t="shared" si="9"/>
        <v>92.57131926295537</v>
      </c>
      <c r="AE41" s="336">
        <f t="shared" si="63"/>
        <v>172.703879894712</v>
      </c>
      <c r="AF41" s="336">
        <f t="shared" si="63"/>
        <v>230.27183985961602</v>
      </c>
      <c r="AG41" s="336">
        <f t="shared" si="63"/>
        <v>287.83979982452</v>
      </c>
      <c r="AH41" s="336">
        <f t="shared" si="63"/>
        <v>345.407759789424</v>
      </c>
      <c r="AI41" s="336">
        <f t="shared" si="63"/>
        <v>402.975719754328</v>
      </c>
      <c r="AJ41" s="336">
        <f t="shared" si="63"/>
        <v>460.54367971923205</v>
      </c>
      <c r="AK41" s="336">
        <f t="shared" si="63"/>
        <v>518.1116396841361</v>
      </c>
      <c r="AL41" s="336">
        <f t="shared" si="63"/>
        <v>575.67959964904</v>
      </c>
      <c r="AM41" s="336">
        <f t="shared" si="63"/>
        <v>690.815519578848</v>
      </c>
      <c r="AN41">
        <f>($AN$5)*POWER(F41,0.5)</f>
        <v>296.1551718194506</v>
      </c>
      <c r="AO41" s="460">
        <f t="shared" si="16"/>
        <v>1066.158618550022</v>
      </c>
      <c r="AP41" s="461">
        <f t="shared" si="17"/>
        <v>575.67959964904</v>
      </c>
      <c r="AQ41" s="176">
        <f t="shared" si="31"/>
        <v>58298.26216918318</v>
      </c>
      <c r="AR41">
        <f>AN41/$E$6</f>
        <v>971.6377028197197</v>
      </c>
      <c r="AS41" s="462">
        <f>$E$3-1.94*C41/1000</f>
        <v>218.13151999999997</v>
      </c>
      <c r="AT41" s="462">
        <f t="shared" si="18"/>
        <v>-55.01848000000001</v>
      </c>
      <c r="AU41" s="427"/>
      <c r="AV41" s="281">
        <f t="shared" si="54"/>
        <v>36000</v>
      </c>
      <c r="AW41" s="361">
        <f t="shared" si="60"/>
        <v>360.92</v>
      </c>
      <c r="AX41" s="64">
        <f t="shared" si="4"/>
        <v>36092</v>
      </c>
      <c r="AY41" s="251"/>
      <c r="AZ41" s="280">
        <f t="shared" si="55"/>
        <v>11.0008416</v>
      </c>
      <c r="BA41" s="280">
        <f t="shared" si="44"/>
        <v>216.64999999999998</v>
      </c>
      <c r="BB41" s="280">
        <f>BB40</f>
        <v>1</v>
      </c>
      <c r="BC41">
        <f t="shared" si="35"/>
        <v>0.7518653479090751</v>
      </c>
      <c r="BD41">
        <f>IF(AX41&lt;36091,$C$3*POWER(1-0.02256*AZ41,5.26),226.32*EXP((-0.1577)*(AZ41-11)))</f>
        <v>226.28996473036702</v>
      </c>
      <c r="BE41">
        <f t="shared" si="12"/>
        <v>0.22333083121674516</v>
      </c>
      <c r="BF41">
        <f t="shared" si="36"/>
        <v>296.1551718194506</v>
      </c>
      <c r="BG41">
        <f t="shared" si="56"/>
        <v>0.8696629840756764</v>
      </c>
      <c r="BH41">
        <f t="shared" si="37"/>
        <v>0.36264327532869567</v>
      </c>
      <c r="BI41">
        <f t="shared" si="19"/>
        <v>0.29604087161369097</v>
      </c>
      <c r="BJ41">
        <f t="shared" si="45"/>
        <v>0.5440963808128951</v>
      </c>
      <c r="BK41" s="251"/>
      <c r="BL41" s="463"/>
      <c r="BM41" s="64">
        <f t="shared" si="38"/>
        <v>11.0008416</v>
      </c>
      <c r="BN41">
        <f t="shared" si="61"/>
        <v>-72.763972352</v>
      </c>
      <c r="BO41">
        <f t="shared" si="61"/>
        <v>-67.40090788352</v>
      </c>
      <c r="BP41" s="44">
        <f t="shared" si="61"/>
        <v>-60.51302710271999</v>
      </c>
      <c r="BQ41" s="464">
        <f t="shared" si="61"/>
        <v>-56.5</v>
      </c>
      <c r="BR41" s="44">
        <f t="shared" si="61"/>
        <v>-49.14452700377358</v>
      </c>
      <c r="BS41" s="44">
        <f t="shared" si="61"/>
        <v>-43.48226285283019</v>
      </c>
      <c r="BT41" s="44">
        <f t="shared" si="61"/>
        <v>-26.495470400000002</v>
      </c>
      <c r="BU41" s="463"/>
      <c r="BV41" s="338">
        <f t="shared" si="46"/>
        <v>1.0657719869847415</v>
      </c>
      <c r="BW41" s="92">
        <f t="shared" si="20"/>
        <v>94.55024193982878</v>
      </c>
      <c r="BX41" s="339">
        <f t="shared" si="21"/>
        <v>183.79096705366285</v>
      </c>
      <c r="BY41" s="92">
        <f t="shared" si="22"/>
        <v>367.5819341073257</v>
      </c>
      <c r="BZ41" s="92">
        <f t="shared" si="23"/>
        <v>273.9286310127866</v>
      </c>
      <c r="CA41" s="92">
        <f t="shared" si="24"/>
        <v>47.638666282419564</v>
      </c>
      <c r="CB41" s="340">
        <f t="shared" si="25"/>
        <v>0.3192591281082568</v>
      </c>
      <c r="CC41">
        <f t="shared" si="26"/>
        <v>1013</v>
      </c>
      <c r="CD41" s="92">
        <f t="shared" si="47"/>
        <v>786.710035269633</v>
      </c>
      <c r="CE41" s="340">
        <f t="shared" si="57"/>
        <v>1.2098913278767873</v>
      </c>
      <c r="CF41" s="92">
        <f t="shared" si="27"/>
        <v>358.31557409021315</v>
      </c>
      <c r="CG41" s="360">
        <f t="shared" si="28"/>
        <v>696.5097552509543</v>
      </c>
      <c r="CH41" s="92">
        <f t="shared" si="29"/>
        <v>1289.9360667247674</v>
      </c>
    </row>
    <row r="42" spans="1:86" s="460" customFormat="1" ht="16.5" thickBot="1">
      <c r="A42" s="323">
        <f>$B$3/POWER(1+B42/(1000*$A$5),2)</f>
        <v>9.771500868373096</v>
      </c>
      <c r="B42" s="452">
        <f>C42*E$6</f>
        <v>11500.408800000001</v>
      </c>
      <c r="C42" s="453">
        <v>37731</v>
      </c>
      <c r="D42" s="325">
        <f t="shared" si="5"/>
        <v>181.19924492092446</v>
      </c>
      <c r="E42" s="326">
        <f t="shared" si="6"/>
        <v>208.1874405053227</v>
      </c>
      <c r="F42" s="454">
        <f>IF(B42&gt;B$62,$F$62,$E$3+$B42*($AA$6))</f>
        <v>217.9317943468468</v>
      </c>
      <c r="G42" s="455">
        <f t="shared" si="40"/>
        <v>-55.21820565315318</v>
      </c>
      <c r="H42" s="456">
        <f t="shared" si="41"/>
        <v>-67.39277017567572</v>
      </c>
      <c r="I42" s="452">
        <f>$H$3*E42*100/($G$3*F42)</f>
        <v>0.3327851183978065</v>
      </c>
      <c r="J42">
        <f t="shared" si="50"/>
        <v>271.6664094246789</v>
      </c>
      <c r="K42" s="329">
        <f t="shared" si="62"/>
        <v>383.71786930649574</v>
      </c>
      <c r="L42" s="329">
        <f t="shared" si="62"/>
        <v>575.5768039597435</v>
      </c>
      <c r="M42" s="329">
        <f t="shared" si="62"/>
        <v>613.9485908903931</v>
      </c>
      <c r="N42" s="329">
        <f t="shared" si="62"/>
        <v>652.3203778210427</v>
      </c>
      <c r="O42" s="329">
        <f t="shared" si="62"/>
        <v>1918.5893465324787</v>
      </c>
      <c r="P42" s="329">
        <f t="shared" si="62"/>
        <v>729.0639516823419</v>
      </c>
      <c r="Q42" s="329">
        <f t="shared" si="62"/>
        <v>767.4357386129915</v>
      </c>
      <c r="R42" s="329">
        <f t="shared" si="62"/>
        <v>805.807525543641</v>
      </c>
      <c r="S42" s="329">
        <f t="shared" si="62"/>
        <v>844.1793124742906</v>
      </c>
      <c r="T42" s="329">
        <f t="shared" si="62"/>
        <v>882.5510994049401</v>
      </c>
      <c r="U42" s="329">
        <f t="shared" si="62"/>
        <v>920.9228863355897</v>
      </c>
      <c r="V42" s="329">
        <f t="shared" si="62"/>
        <v>959.2946732662393</v>
      </c>
      <c r="W42" s="329">
        <f t="shared" si="62"/>
        <v>1151.153607919487</v>
      </c>
      <c r="X42" s="330">
        <f t="shared" si="64"/>
        <v>6.1477895061628285</v>
      </c>
      <c r="Y42" s="457">
        <f>E42/G$6</f>
        <v>156.15385345653584</v>
      </c>
      <c r="Z42" s="286">
        <f>$C$3*POWER(1-0.00003173*$C42*E$6,$F$3/($F$3-1))</f>
        <v>208.01622423430052</v>
      </c>
      <c r="AA42" s="332">
        <f t="shared" si="52"/>
        <v>166.95768684100403</v>
      </c>
      <c r="AB42" s="458">
        <f>$Y$2+F42</f>
        <v>192.9317943468468</v>
      </c>
      <c r="AC42" s="459">
        <f t="shared" si="15"/>
        <v>-80.21820565315318</v>
      </c>
      <c r="AD42" s="335">
        <f>($G$3*F42)/($H$3*$A42*E42*$E$6)</f>
        <v>100.89272807919279</v>
      </c>
      <c r="AE42" s="336">
        <f t="shared" si="63"/>
        <v>172.703879894712</v>
      </c>
      <c r="AF42" s="336">
        <f t="shared" si="63"/>
        <v>230.27183985961602</v>
      </c>
      <c r="AG42" s="336">
        <f t="shared" si="63"/>
        <v>287.83979982452</v>
      </c>
      <c r="AH42" s="336">
        <f t="shared" si="63"/>
        <v>345.407759789424</v>
      </c>
      <c r="AI42" s="336">
        <f t="shared" si="63"/>
        <v>402.975719754328</v>
      </c>
      <c r="AJ42" s="336">
        <f t="shared" si="63"/>
        <v>460.54367971923205</v>
      </c>
      <c r="AK42" s="336">
        <f t="shared" si="63"/>
        <v>518.1116396841361</v>
      </c>
      <c r="AL42" s="336">
        <f t="shared" si="63"/>
        <v>575.67959964904</v>
      </c>
      <c r="AM42" s="336">
        <f t="shared" si="63"/>
        <v>690.815519578848</v>
      </c>
      <c r="AN42">
        <f>($AN$5)*POWER(F42,0.5)</f>
        <v>296.1551718194506</v>
      </c>
      <c r="AO42" s="460">
        <f t="shared" si="16"/>
        <v>1066.158618550022</v>
      </c>
      <c r="AP42" s="461">
        <f t="shared" si="17"/>
        <v>575.67959964904</v>
      </c>
      <c r="AQ42" s="176">
        <f>AR42*60</f>
        <v>58298.26216918318</v>
      </c>
      <c r="AR42">
        <f>AN42/$E$6</f>
        <v>971.6377028197197</v>
      </c>
      <c r="AS42" s="462">
        <f>$E$3-1.94*C42/1000</f>
        <v>214.95185999999998</v>
      </c>
      <c r="AT42" s="462">
        <f t="shared" si="18"/>
        <v>-58.198139999999995</v>
      </c>
      <c r="AU42" s="427"/>
      <c r="AV42" s="281">
        <f t="shared" si="54"/>
        <v>36000</v>
      </c>
      <c r="AW42" s="361">
        <f t="shared" si="60"/>
        <v>377.31</v>
      </c>
      <c r="AX42" s="64">
        <f t="shared" si="4"/>
        <v>37731</v>
      </c>
      <c r="AY42" s="251"/>
      <c r="AZ42" s="280">
        <f>B42/1000</f>
        <v>11.5004088</v>
      </c>
      <c r="BA42" s="280">
        <f t="shared" si="44"/>
        <v>216.64999999999998</v>
      </c>
      <c r="BB42" s="280">
        <f>BB39</f>
        <v>0.9975062344139651</v>
      </c>
      <c r="BC42">
        <f>BA42/$BA$15</f>
        <v>0.7518653479090751</v>
      </c>
      <c r="BD42">
        <f>IF(AX42&lt;36091,$C$3*POWER(1-0.02256*AZ42,5.26),226.32*EXP((-0.1577)*(AZ42-11)))</f>
        <v>209.14660371290418</v>
      </c>
      <c r="BE42">
        <f t="shared" si="12"/>
        <v>0.20641164935889877</v>
      </c>
      <c r="BF42">
        <f>AN42</f>
        <v>296.1551718194506</v>
      </c>
      <c r="BG42">
        <f t="shared" si="56"/>
        <v>0.8696629840756764</v>
      </c>
      <c r="BH42">
        <f>I42</f>
        <v>0.3327851183978065</v>
      </c>
      <c r="BI42">
        <f t="shared" si="19"/>
        <v>0.2716664094246789</v>
      </c>
      <c r="BJ42">
        <f t="shared" si="45"/>
        <v>0.5212162789329194</v>
      </c>
      <c r="BK42" s="251"/>
      <c r="BL42" s="463"/>
      <c r="BM42" s="64">
        <f>AZ42</f>
        <v>11.5004088</v>
      </c>
      <c r="BN42">
        <f t="shared" si="61"/>
        <v>-75.12192953600001</v>
      </c>
      <c r="BO42">
        <f t="shared" si="61"/>
        <v>-69.97228017536</v>
      </c>
      <c r="BP42" s="44">
        <f t="shared" si="61"/>
        <v>-63.44009124096</v>
      </c>
      <c r="BQ42" s="464">
        <f t="shared" si="61"/>
        <v>-56.5</v>
      </c>
      <c r="BR42" s="464">
        <f t="shared" si="61"/>
        <v>-50</v>
      </c>
      <c r="BS42" s="464">
        <f t="shared" si="61"/>
        <v>-45</v>
      </c>
      <c r="BT42" s="44">
        <f t="shared" si="61"/>
        <v>-29.74265720000001</v>
      </c>
      <c r="BU42" s="463"/>
      <c r="BV42" s="338">
        <f t="shared" si="46"/>
        <v>1.0657719869847415</v>
      </c>
      <c r="BW42" s="92">
        <f t="shared" si="20"/>
        <v>98.70076304939307</v>
      </c>
      <c r="BX42" s="339">
        <f t="shared" si="21"/>
        <v>191.85893465324787</v>
      </c>
      <c r="BY42" s="92">
        <f t="shared" si="22"/>
        <v>383.71786930649574</v>
      </c>
      <c r="BZ42" s="92">
        <f t="shared" si="23"/>
        <v>261.05950792004495</v>
      </c>
      <c r="CA42" s="92">
        <f t="shared" si="24"/>
        <v>51.91290420714077</v>
      </c>
      <c r="CB42" s="340">
        <f t="shared" si="25"/>
        <v>0.33327381197842276</v>
      </c>
      <c r="CC42">
        <f t="shared" si="26"/>
        <v>1013</v>
      </c>
      <c r="CD42" s="92">
        <f t="shared" si="47"/>
        <v>803.8533962870958</v>
      </c>
      <c r="CE42" s="340">
        <f t="shared" si="57"/>
        <v>1.2230027802554342</v>
      </c>
      <c r="CF42" s="92">
        <f t="shared" si="27"/>
        <v>362.19859852221384</v>
      </c>
      <c r="CG42" s="360">
        <f t="shared" si="28"/>
        <v>704.0577509071112</v>
      </c>
      <c r="CH42" s="92">
        <f t="shared" si="29"/>
        <v>1303.91495467997</v>
      </c>
    </row>
    <row r="43" spans="1:86" s="460" customFormat="1" ht="16.5" thickBot="1">
      <c r="A43" s="323">
        <f>$B$3/POWER(1+B43/(1000*$A$5),2)</f>
        <v>9.771436763135698</v>
      </c>
      <c r="B43" s="452">
        <f>C43*E$6</f>
        <v>11521.44</v>
      </c>
      <c r="C43" s="453">
        <v>37800</v>
      </c>
      <c r="D43" s="325">
        <f t="shared" si="5"/>
        <v>180.46548908054987</v>
      </c>
      <c r="E43" s="326">
        <f t="shared" si="6"/>
        <v>207.4260177743875</v>
      </c>
      <c r="F43" s="454">
        <f>IF(B43&gt;B$62,$F$62,$E$3+$B43*($AA$6))</f>
        <v>217.9317943468468</v>
      </c>
      <c r="G43" s="455">
        <f t="shared" si="40"/>
        <v>-55.21820565315318</v>
      </c>
      <c r="H43" s="456">
        <f t="shared" si="41"/>
        <v>-67.39277017567572</v>
      </c>
      <c r="I43" s="452">
        <f>$H$3*E43*100/($G$3*F43)</f>
        <v>0.33156799332508347</v>
      </c>
      <c r="J43">
        <f t="shared" si="50"/>
        <v>270.67281932690247</v>
      </c>
      <c r="K43" s="329">
        <f t="shared" si="62"/>
        <v>384.4215030047357</v>
      </c>
      <c r="L43" s="329">
        <f t="shared" si="62"/>
        <v>576.6322545071035</v>
      </c>
      <c r="M43" s="329">
        <f t="shared" si="62"/>
        <v>615.0744048075771</v>
      </c>
      <c r="N43" s="329">
        <f t="shared" si="62"/>
        <v>653.5165551080507</v>
      </c>
      <c r="O43" s="329">
        <f t="shared" si="62"/>
        <v>1922.1075150236784</v>
      </c>
      <c r="P43" s="329">
        <f t="shared" si="62"/>
        <v>730.4008557089978</v>
      </c>
      <c r="Q43" s="329">
        <f t="shared" si="62"/>
        <v>768.8430060094714</v>
      </c>
      <c r="R43" s="329">
        <f t="shared" si="62"/>
        <v>807.2851563099449</v>
      </c>
      <c r="S43" s="329">
        <f t="shared" si="62"/>
        <v>845.7273066104185</v>
      </c>
      <c r="T43" s="329">
        <f t="shared" si="62"/>
        <v>884.1694569108921</v>
      </c>
      <c r="U43" s="329">
        <f t="shared" si="62"/>
        <v>922.6116072113657</v>
      </c>
      <c r="V43" s="329">
        <f t="shared" si="62"/>
        <v>961.0537575118392</v>
      </c>
      <c r="W43" s="329">
        <f t="shared" si="62"/>
        <v>1153.264509014207</v>
      </c>
      <c r="X43" s="330">
        <f t="shared" si="64"/>
        <v>6.125304640295631</v>
      </c>
      <c r="Y43" s="457">
        <f>E43/G$6</f>
        <v>155.582737863509</v>
      </c>
      <c r="Z43" s="286">
        <f>$C$3*POWER(1-0.00003173*$C43*E$6,$F$3/($F$3-1))</f>
        <v>207.2549362416615</v>
      </c>
      <c r="AA43" s="332">
        <f t="shared" si="52"/>
        <v>166.25733809400407</v>
      </c>
      <c r="AB43" s="458">
        <f>$Y$2+F43</f>
        <v>192.9317943468468</v>
      </c>
      <c r="AC43" s="459">
        <f t="shared" si="15"/>
        <v>-80.21820565315318</v>
      </c>
      <c r="AD43" s="335">
        <f>($G$3*F43)/($H$3*$A43*E43*$E$6)</f>
        <v>101.26375104658146</v>
      </c>
      <c r="AE43" s="336">
        <f t="shared" si="63"/>
        <v>172.703879894712</v>
      </c>
      <c r="AF43" s="336">
        <f t="shared" si="63"/>
        <v>230.27183985961602</v>
      </c>
      <c r="AG43" s="336">
        <f t="shared" si="63"/>
        <v>287.83979982452</v>
      </c>
      <c r="AH43" s="336">
        <f t="shared" si="63"/>
        <v>345.407759789424</v>
      </c>
      <c r="AI43" s="336">
        <f t="shared" si="63"/>
        <v>402.975719754328</v>
      </c>
      <c r="AJ43" s="336">
        <f t="shared" si="63"/>
        <v>460.54367971923205</v>
      </c>
      <c r="AK43" s="336">
        <f t="shared" si="63"/>
        <v>518.1116396841361</v>
      </c>
      <c r="AL43" s="336">
        <f t="shared" si="63"/>
        <v>575.67959964904</v>
      </c>
      <c r="AM43" s="336">
        <f t="shared" si="63"/>
        <v>690.815519578848</v>
      </c>
      <c r="AN43">
        <f>($AN$5)*POWER(F43,0.5)</f>
        <v>296.1551718194506</v>
      </c>
      <c r="AO43" s="460">
        <f t="shared" si="16"/>
        <v>1066.158618550022</v>
      </c>
      <c r="AP43" s="461">
        <f t="shared" si="17"/>
        <v>575.67959964904</v>
      </c>
      <c r="AQ43" s="176">
        <f>AR43*60</f>
        <v>58298.26216918318</v>
      </c>
      <c r="AR43">
        <f>AN43/$E$6</f>
        <v>971.6377028197197</v>
      </c>
      <c r="AS43" s="462">
        <f>$E$3-1.94*C43/1000</f>
        <v>214.81799999999998</v>
      </c>
      <c r="AT43" s="462">
        <f t="shared" si="18"/>
        <v>-58.331999999999994</v>
      </c>
      <c r="AU43" s="427"/>
      <c r="AV43" s="281">
        <f t="shared" si="54"/>
        <v>36000</v>
      </c>
      <c r="AW43" s="361">
        <f t="shared" si="60"/>
        <v>378</v>
      </c>
      <c r="AX43" s="64">
        <f t="shared" si="4"/>
        <v>37800</v>
      </c>
      <c r="AY43" s="251"/>
      <c r="AZ43" s="280">
        <f>B43/1000</f>
        <v>11.52144</v>
      </c>
      <c r="BA43" s="280">
        <f t="shared" si="44"/>
        <v>216.64999999999998</v>
      </c>
      <c r="BB43" s="280">
        <f>BB40</f>
        <v>1</v>
      </c>
      <c r="BC43">
        <f>BA43/$BA$15</f>
        <v>0.7518653479090751</v>
      </c>
      <c r="BD43">
        <f>IF(AX43&lt;36091,$C$3*POWER(1-0.02256*AZ43,5.26),226.32*EXP((-0.1577)*(AZ43-11)))</f>
        <v>208.45409288641423</v>
      </c>
      <c r="BE43">
        <f t="shared" si="12"/>
        <v>0.2057281943117831</v>
      </c>
      <c r="BF43">
        <f>AN43</f>
        <v>296.1551718194506</v>
      </c>
      <c r="BG43">
        <f t="shared" si="56"/>
        <v>0.8696629840756764</v>
      </c>
      <c r="BH43">
        <f>I43</f>
        <v>0.33156799332508347</v>
      </c>
      <c r="BI43">
        <f t="shared" si="19"/>
        <v>0.27067281932690246</v>
      </c>
      <c r="BJ43">
        <f t="shared" si="45"/>
        <v>0.5202622601408855</v>
      </c>
      <c r="BK43" s="251"/>
      <c r="BL43" s="463"/>
      <c r="BM43" s="64">
        <f>AZ43</f>
        <v>11.52144</v>
      </c>
      <c r="BN43">
        <f aca="true" t="shared" si="65" ref="BN43:BT62">IF($BM43&gt;BN$8,IF($BM43&gt;BN$5,BN$4,BN$4+BN$6*(BN$5-$BM43)),IF($BM43&gt;BN$1,BN$4+BN$6*(BN$5-BN$8),BN$4+BN$6*(BN$5-BN$8)+BN$2*($BM43-BN$1)))</f>
        <v>-75.2211968</v>
      </c>
      <c r="BO43">
        <f t="shared" si="65"/>
        <v>-70.080531968</v>
      </c>
      <c r="BP43" s="44">
        <f t="shared" si="65"/>
        <v>-63.563317248</v>
      </c>
      <c r="BQ43" s="464">
        <f t="shared" si="65"/>
        <v>-56.5</v>
      </c>
      <c r="BR43" s="464">
        <f t="shared" si="65"/>
        <v>-50</v>
      </c>
      <c r="BS43" s="464">
        <f t="shared" si="65"/>
        <v>-45</v>
      </c>
      <c r="BT43" s="44">
        <f t="shared" si="65"/>
        <v>-29.879360000000005</v>
      </c>
      <c r="BU43" s="463"/>
      <c r="BV43" s="338">
        <f t="shared" si="46"/>
        <v>1.0657719869847415</v>
      </c>
      <c r="BW43" s="92">
        <f t="shared" si="20"/>
        <v>98.8817532728848</v>
      </c>
      <c r="BX43" s="339">
        <f t="shared" si="21"/>
        <v>192.21075150236786</v>
      </c>
      <c r="BY43" s="92">
        <f t="shared" si="22"/>
        <v>384.4215030047357</v>
      </c>
      <c r="BZ43" s="92">
        <f t="shared" si="23"/>
        <v>260.55755980943945</v>
      </c>
      <c r="CA43" s="92">
        <f t="shared" si="24"/>
        <v>52.10346692302521</v>
      </c>
      <c r="CB43" s="340">
        <f t="shared" si="25"/>
        <v>0.3338849450624064</v>
      </c>
      <c r="CC43">
        <f t="shared" si="26"/>
        <v>1013</v>
      </c>
      <c r="CD43" s="92">
        <f t="shared" si="47"/>
        <v>804.5459071135858</v>
      </c>
      <c r="CE43" s="340">
        <f t="shared" si="57"/>
        <v>1.2235294685425369</v>
      </c>
      <c r="CF43" s="92">
        <f t="shared" si="27"/>
        <v>362.35457998237604</v>
      </c>
      <c r="CG43" s="360">
        <f t="shared" si="28"/>
        <v>704.3609546093702</v>
      </c>
      <c r="CH43" s="92">
        <f t="shared" si="29"/>
        <v>1304.4764879365537</v>
      </c>
    </row>
    <row r="44" spans="1:86" s="460" customFormat="1" ht="16.5" thickBot="1">
      <c r="A44" s="323">
        <f t="shared" si="48"/>
        <v>9.759321989964537</v>
      </c>
      <c r="B44" s="452">
        <f t="shared" si="39"/>
        <v>15499.689600000002</v>
      </c>
      <c r="C44" s="453">
        <v>50852</v>
      </c>
      <c r="D44" s="325">
        <f t="shared" si="5"/>
        <v>75.89188597256788</v>
      </c>
      <c r="E44" s="326">
        <f t="shared" si="6"/>
        <v>95.73718062470014</v>
      </c>
      <c r="F44" s="454">
        <f t="shared" si="58"/>
        <v>217.9317943468468</v>
      </c>
      <c r="G44" s="455">
        <f t="shared" si="40"/>
        <v>-55.21820565315318</v>
      </c>
      <c r="H44" s="456">
        <f t="shared" si="41"/>
        <v>-67.39277017567572</v>
      </c>
      <c r="I44" s="452">
        <f t="shared" si="42"/>
        <v>0.153034731163086</v>
      </c>
      <c r="J44">
        <f t="shared" si="50"/>
        <v>124.92865105418915</v>
      </c>
      <c r="K44" s="329">
        <f t="shared" si="62"/>
        <v>565.8469383303074</v>
      </c>
      <c r="L44" s="329">
        <f t="shared" si="62"/>
        <v>848.7704074954611</v>
      </c>
      <c r="M44" s="329">
        <f t="shared" si="62"/>
        <v>905.3551013284919</v>
      </c>
      <c r="N44" s="329">
        <f t="shared" si="62"/>
        <v>961.9397951615226</v>
      </c>
      <c r="O44" s="329">
        <f t="shared" si="62"/>
        <v>2829.234691651537</v>
      </c>
      <c r="P44" s="329">
        <f t="shared" si="62"/>
        <v>1075.109182827584</v>
      </c>
      <c r="Q44" s="329">
        <f t="shared" si="62"/>
        <v>1131.6938766606147</v>
      </c>
      <c r="R44" s="329">
        <f t="shared" si="62"/>
        <v>1188.2785704936455</v>
      </c>
      <c r="S44" s="329">
        <f t="shared" si="62"/>
        <v>1244.8632643266762</v>
      </c>
      <c r="T44" s="329">
        <f t="shared" si="62"/>
        <v>1301.447958159707</v>
      </c>
      <c r="U44" s="329">
        <f t="shared" si="62"/>
        <v>1358.0326519927378</v>
      </c>
      <c r="V44" s="329">
        <f t="shared" si="62"/>
        <v>1414.6173458257686</v>
      </c>
      <c r="W44" s="329">
        <f t="shared" si="62"/>
        <v>1697.5408149909222</v>
      </c>
      <c r="X44" s="330">
        <f t="shared" si="64"/>
        <v>2.8271255603389718</v>
      </c>
      <c r="Y44" s="457">
        <f t="shared" si="43"/>
        <v>71.80898923260987</v>
      </c>
      <c r="Z44" s="286">
        <f aca="true" t="shared" si="66" ref="Z44:Z63">$C$3*POWER(1-0.00003173*$C44*E$6,$F$3/($F$3-1))</f>
        <v>95.60461527806142</v>
      </c>
      <c r="AA44" s="332">
        <f t="shared" si="52"/>
        <v>67.47400426480904</v>
      </c>
      <c r="AB44" s="458">
        <f t="shared" si="59"/>
        <v>192.9317943468468</v>
      </c>
      <c r="AC44" s="459">
        <f t="shared" si="15"/>
        <v>-80.21820565315318</v>
      </c>
      <c r="AD44" s="335">
        <f t="shared" si="9"/>
        <v>219.67234464831503</v>
      </c>
      <c r="AE44" s="336">
        <f t="shared" si="63"/>
        <v>172.703879894712</v>
      </c>
      <c r="AF44" s="336">
        <f t="shared" si="63"/>
        <v>230.27183985961602</v>
      </c>
      <c r="AG44" s="336">
        <f t="shared" si="63"/>
        <v>287.83979982452</v>
      </c>
      <c r="AH44" s="336">
        <f t="shared" si="63"/>
        <v>345.407759789424</v>
      </c>
      <c r="AI44" s="336">
        <f t="shared" si="63"/>
        <v>402.975719754328</v>
      </c>
      <c r="AJ44" s="336">
        <f t="shared" si="63"/>
        <v>460.54367971923205</v>
      </c>
      <c r="AK44" s="336">
        <f t="shared" si="63"/>
        <v>518.1116396841361</v>
      </c>
      <c r="AL44" s="336">
        <f t="shared" si="63"/>
        <v>575.67959964904</v>
      </c>
      <c r="AM44" s="336">
        <f t="shared" si="63"/>
        <v>690.815519578848</v>
      </c>
      <c r="AN44">
        <f t="shared" si="30"/>
        <v>296.1551718194506</v>
      </c>
      <c r="AO44" s="460">
        <f t="shared" si="16"/>
        <v>1066.158618550022</v>
      </c>
      <c r="AP44" s="461">
        <f t="shared" si="17"/>
        <v>575.67959964904</v>
      </c>
      <c r="AQ44" s="176">
        <f t="shared" si="31"/>
        <v>58298.26216918318</v>
      </c>
      <c r="AR44">
        <f t="shared" si="32"/>
        <v>971.6377028197197</v>
      </c>
      <c r="AS44" s="462">
        <f t="shared" si="33"/>
        <v>189.49712</v>
      </c>
      <c r="AT44" s="462">
        <f t="shared" si="18"/>
        <v>-83.65287999999998</v>
      </c>
      <c r="AU44" s="427"/>
      <c r="AV44" s="281">
        <f t="shared" si="54"/>
        <v>36000</v>
      </c>
      <c r="AW44" s="361">
        <f t="shared" si="60"/>
        <v>508.52</v>
      </c>
      <c r="AX44" s="64">
        <f t="shared" si="4"/>
        <v>50852</v>
      </c>
      <c r="AY44" s="251"/>
      <c r="AZ44" s="280">
        <f t="shared" si="55"/>
        <v>15.499689600000002</v>
      </c>
      <c r="BA44" s="280">
        <f t="shared" si="44"/>
        <v>216.64999999999998</v>
      </c>
      <c r="BB44" s="280">
        <f>BB41</f>
        <v>1</v>
      </c>
      <c r="BC44">
        <f t="shared" si="35"/>
        <v>0.7518653479090751</v>
      </c>
      <c r="BD44">
        <f>IF(AX44&lt;36091,$C$3*POWER(1-0.02256*AZ44,5.26),226.32*EXP((-0.1577)*(AZ44-11)))</f>
        <v>111.31331436783712</v>
      </c>
      <c r="BE44">
        <f t="shared" si="12"/>
        <v>0.1098576998448923</v>
      </c>
      <c r="BF44">
        <f t="shared" si="36"/>
        <v>296.1551718194506</v>
      </c>
      <c r="BG44">
        <f t="shared" si="56"/>
        <v>0.8696629840756764</v>
      </c>
      <c r="BH44">
        <f t="shared" si="37"/>
        <v>0.153034731163086</v>
      </c>
      <c r="BI44">
        <f t="shared" si="19"/>
        <v>0.12492865105418913</v>
      </c>
      <c r="BJ44">
        <f t="shared" si="45"/>
        <v>0.35345247354374126</v>
      </c>
      <c r="BK44" s="251"/>
      <c r="BL44" s="463"/>
      <c r="BM44" s="64">
        <f t="shared" si="38"/>
        <v>15.499689600000002</v>
      </c>
      <c r="BN44">
        <f t="shared" si="65"/>
        <v>-93.99853491200001</v>
      </c>
      <c r="BO44" s="385">
        <f t="shared" si="65"/>
        <v>-85</v>
      </c>
      <c r="BP44" s="464">
        <f t="shared" si="65"/>
        <v>-70</v>
      </c>
      <c r="BQ44" s="464">
        <f t="shared" si="65"/>
        <v>-56.5</v>
      </c>
      <c r="BR44" s="464">
        <f t="shared" si="65"/>
        <v>-50</v>
      </c>
      <c r="BS44" s="464">
        <f t="shared" si="65"/>
        <v>-45</v>
      </c>
      <c r="BT44" s="464">
        <f t="shared" si="65"/>
        <v>-30</v>
      </c>
      <c r="BU44" s="463"/>
      <c r="BV44" s="338">
        <f t="shared" si="46"/>
        <v>1.0657719869847415</v>
      </c>
      <c r="BW44" s="92">
        <f t="shared" si="20"/>
        <v>145.54840691496244</v>
      </c>
      <c r="BX44" s="339">
        <f t="shared" si="21"/>
        <v>282.92346916515373</v>
      </c>
      <c r="BY44" s="92">
        <f t="shared" si="22"/>
        <v>565.8469383303074</v>
      </c>
      <c r="BZ44" s="92">
        <f t="shared" si="23"/>
        <v>224.20168840978465</v>
      </c>
      <c r="CA44" s="92">
        <f t="shared" si="24"/>
        <v>112.88837404194751</v>
      </c>
      <c r="CB44" s="340">
        <f t="shared" si="25"/>
        <v>0.4914599533102033</v>
      </c>
      <c r="CC44">
        <f t="shared" si="26"/>
        <v>1013</v>
      </c>
      <c r="CD44" s="92">
        <f t="shared" si="47"/>
        <v>901.6866856321628</v>
      </c>
      <c r="CE44" s="340">
        <f t="shared" si="57"/>
        <v>1.2952895067085455</v>
      </c>
      <c r="CF44" s="92">
        <f t="shared" si="27"/>
        <v>383.60668641520067</v>
      </c>
      <c r="CG44" s="360">
        <f t="shared" si="28"/>
        <v>745.6717446515779</v>
      </c>
      <c r="CH44" s="92">
        <f t="shared" si="29"/>
        <v>1380.9840710947224</v>
      </c>
    </row>
    <row r="45" spans="1:86" s="471" customFormat="1" ht="16.5" thickBot="1">
      <c r="A45" s="323">
        <f t="shared" si="48"/>
        <v>9.75640341119689</v>
      </c>
      <c r="B45" s="465">
        <f t="shared" si="39"/>
        <v>16459.2</v>
      </c>
      <c r="C45" s="466">
        <v>54000</v>
      </c>
      <c r="D45" s="325">
        <f t="shared" si="5"/>
        <v>59.38805589624915</v>
      </c>
      <c r="E45" s="417">
        <f t="shared" si="6"/>
        <v>77.19470355314162</v>
      </c>
      <c r="F45" s="467">
        <f t="shared" si="58"/>
        <v>217.9317943468468</v>
      </c>
      <c r="G45" s="468">
        <f t="shared" si="40"/>
        <v>-55.21820565315318</v>
      </c>
      <c r="H45" s="469">
        <f t="shared" si="41"/>
        <v>-67.39277017567572</v>
      </c>
      <c r="I45" s="465">
        <f t="shared" si="42"/>
        <v>0.12339480469744771</v>
      </c>
      <c r="J45" s="415">
        <f t="shared" si="50"/>
        <v>100.73233952049243</v>
      </c>
      <c r="K45" s="421">
        <f t="shared" si="62"/>
        <v>630.1523139682039</v>
      </c>
      <c r="L45" s="421">
        <f t="shared" si="62"/>
        <v>945.2284709523059</v>
      </c>
      <c r="M45" s="421">
        <f t="shared" si="62"/>
        <v>1008.2437023491262</v>
      </c>
      <c r="N45" s="421">
        <f t="shared" si="62"/>
        <v>1071.2589337459467</v>
      </c>
      <c r="O45" s="421">
        <f t="shared" si="62"/>
        <v>3150.7615698410195</v>
      </c>
      <c r="P45" s="421">
        <f t="shared" si="62"/>
        <v>1197.2893965395874</v>
      </c>
      <c r="Q45" s="421">
        <f t="shared" si="62"/>
        <v>1260.3046279364078</v>
      </c>
      <c r="R45" s="421">
        <f t="shared" si="62"/>
        <v>1323.3198593332281</v>
      </c>
      <c r="S45" s="421">
        <f t="shared" si="62"/>
        <v>1386.3350907300485</v>
      </c>
      <c r="T45" s="421">
        <f t="shared" si="62"/>
        <v>1449.3503221268688</v>
      </c>
      <c r="U45" s="421">
        <f t="shared" si="62"/>
        <v>1512.3655535236894</v>
      </c>
      <c r="V45" s="421">
        <f t="shared" si="62"/>
        <v>1575.3807849205098</v>
      </c>
      <c r="W45" s="421">
        <f t="shared" si="62"/>
        <v>1890.4569419046118</v>
      </c>
      <c r="X45" s="330">
        <f t="shared" si="64"/>
        <v>2.279564930926854</v>
      </c>
      <c r="Y45" s="470">
        <f t="shared" si="43"/>
        <v>57.90094924554209</v>
      </c>
      <c r="Z45" s="423">
        <f t="shared" si="66"/>
        <v>77.07397711227638</v>
      </c>
      <c r="AA45" s="332">
        <f t="shared" si="52"/>
        <v>52.17827786503628</v>
      </c>
      <c r="AB45" s="471">
        <f t="shared" si="59"/>
        <v>192.9317943468468</v>
      </c>
      <c r="AC45" s="472">
        <f t="shared" si="15"/>
        <v>-80.21820565315318</v>
      </c>
      <c r="AD45" s="335">
        <f t="shared" si="9"/>
        <v>272.5200205498398</v>
      </c>
      <c r="AE45" s="425">
        <f t="shared" si="63"/>
        <v>172.703879894712</v>
      </c>
      <c r="AF45" s="425">
        <f t="shared" si="63"/>
        <v>230.27183985961602</v>
      </c>
      <c r="AG45" s="425">
        <f t="shared" si="63"/>
        <v>287.83979982452</v>
      </c>
      <c r="AH45" s="425">
        <f t="shared" si="63"/>
        <v>345.407759789424</v>
      </c>
      <c r="AI45" s="425">
        <f t="shared" si="63"/>
        <v>402.975719754328</v>
      </c>
      <c r="AJ45" s="425">
        <f t="shared" si="63"/>
        <v>460.54367971923205</v>
      </c>
      <c r="AK45" s="425">
        <f t="shared" si="63"/>
        <v>518.1116396841361</v>
      </c>
      <c r="AL45" s="425">
        <f t="shared" si="63"/>
        <v>575.67959964904</v>
      </c>
      <c r="AM45" s="425">
        <f t="shared" si="63"/>
        <v>690.815519578848</v>
      </c>
      <c r="AN45" s="415">
        <f t="shared" si="30"/>
        <v>296.1551718194506</v>
      </c>
      <c r="AO45" s="471">
        <f t="shared" si="16"/>
        <v>1066.158618550022</v>
      </c>
      <c r="AP45" s="473">
        <f t="shared" si="17"/>
        <v>575.67959964904</v>
      </c>
      <c r="AQ45" s="176">
        <f t="shared" si="31"/>
        <v>58298.26216918318</v>
      </c>
      <c r="AR45" s="415">
        <f t="shared" si="32"/>
        <v>971.6377028197197</v>
      </c>
      <c r="AS45" s="474">
        <f t="shared" si="33"/>
        <v>183.39</v>
      </c>
      <c r="AT45" s="474">
        <f t="shared" si="18"/>
        <v>-89.75999999999999</v>
      </c>
      <c r="AU45" s="427"/>
      <c r="AV45" s="475">
        <f t="shared" si="54"/>
        <v>36000</v>
      </c>
      <c r="AW45" s="361">
        <f t="shared" si="60"/>
        <v>540</v>
      </c>
      <c r="AX45" s="64">
        <f t="shared" si="4"/>
        <v>54000</v>
      </c>
      <c r="AY45" s="251"/>
      <c r="AZ45" s="280">
        <f t="shared" si="55"/>
        <v>16.4592</v>
      </c>
      <c r="BA45" s="280">
        <f t="shared" si="44"/>
        <v>216.64999999999998</v>
      </c>
      <c r="BB45" s="280">
        <f>BB44</f>
        <v>1</v>
      </c>
      <c r="BC45">
        <f t="shared" si="35"/>
        <v>0.7518653479090751</v>
      </c>
      <c r="BD45">
        <f>IF(AX45&lt;36091,$C$3*POWER(1-0.02256*AZ45,5.26),226.32*EXP((-0.1577)*(AZ45-11)))</f>
        <v>95.6823725863781</v>
      </c>
      <c r="BE45">
        <f t="shared" si="12"/>
        <v>0.09443115972008694</v>
      </c>
      <c r="BF45">
        <f t="shared" si="36"/>
        <v>296.1551718194506</v>
      </c>
      <c r="BG45">
        <f t="shared" si="56"/>
        <v>0.8696629840756764</v>
      </c>
      <c r="BH45">
        <f t="shared" si="37"/>
        <v>0.12339480469744771</v>
      </c>
      <c r="BI45">
        <f t="shared" si="19"/>
        <v>0.10073233952049243</v>
      </c>
      <c r="BJ45">
        <f t="shared" si="45"/>
        <v>0.31738358420134527</v>
      </c>
      <c r="BK45" s="251"/>
      <c r="BL45" s="476"/>
      <c r="BM45" s="64">
        <f t="shared" si="38"/>
        <v>16.4592</v>
      </c>
      <c r="BN45">
        <f t="shared" si="65"/>
        <v>-94</v>
      </c>
      <c r="BO45" s="385">
        <f t="shared" si="65"/>
        <v>-85</v>
      </c>
      <c r="BP45" s="464">
        <f t="shared" si="65"/>
        <v>-70</v>
      </c>
      <c r="BQ45" s="464">
        <f t="shared" si="65"/>
        <v>-56.5</v>
      </c>
      <c r="BR45" s="464">
        <f t="shared" si="65"/>
        <v>-50</v>
      </c>
      <c r="BS45" s="464">
        <f t="shared" si="65"/>
        <v>-45</v>
      </c>
      <c r="BT45" s="464">
        <f t="shared" si="65"/>
        <v>-30</v>
      </c>
      <c r="BU45" s="476"/>
      <c r="BV45" s="338">
        <f t="shared" si="46"/>
        <v>1.0657719869847415</v>
      </c>
      <c r="BW45" s="92">
        <f t="shared" si="20"/>
        <v>162.0891785373769</v>
      </c>
      <c r="BX45" s="339">
        <f t="shared" si="21"/>
        <v>315.07615698410194</v>
      </c>
      <c r="BY45" s="92">
        <f t="shared" si="22"/>
        <v>630.1523139682039</v>
      </c>
      <c r="BZ45" s="92">
        <f t="shared" si="23"/>
        <v>235.68698635683666</v>
      </c>
      <c r="CA45" s="92">
        <f t="shared" si="24"/>
        <v>140.00461377045858</v>
      </c>
      <c r="CB45" s="340">
        <f t="shared" si="25"/>
        <v>0.5473116594303262</v>
      </c>
      <c r="CC45">
        <f t="shared" si="26"/>
        <v>1013</v>
      </c>
      <c r="CD45" s="92">
        <f t="shared" si="47"/>
        <v>917.317627413622</v>
      </c>
      <c r="CE45" s="340">
        <f t="shared" si="57"/>
        <v>1.3064683356559725</v>
      </c>
      <c r="CF45" s="92">
        <f t="shared" si="27"/>
        <v>386.9173544228662</v>
      </c>
      <c r="CG45" s="360">
        <f t="shared" si="28"/>
        <v>752.1071684245779</v>
      </c>
      <c r="CH45" s="92">
        <f t="shared" si="29"/>
        <v>1392.9024759223184</v>
      </c>
    </row>
    <row r="46" spans="24:86" s="477" customFormat="1" ht="7.5" customHeight="1">
      <c r="X46" s="478"/>
      <c r="AQ46" s="479"/>
      <c r="BV46" s="480"/>
      <c r="BW46" s="479"/>
      <c r="BX46" s="481"/>
      <c r="BZ46" s="479"/>
      <c r="CA46" s="479"/>
      <c r="CB46" s="482"/>
      <c r="CD46" s="479"/>
      <c r="CE46" s="483"/>
      <c r="CF46" s="479"/>
      <c r="CG46" s="481"/>
      <c r="CH46" s="479"/>
    </row>
    <row r="47" spans="1:86" s="333" customFormat="1" ht="12.75" customHeight="1" thickBot="1">
      <c r="A47" s="323">
        <f t="shared" si="48"/>
        <v>9.805117890483922</v>
      </c>
      <c r="B47" s="484">
        <v>500</v>
      </c>
      <c r="C47" s="485">
        <f>B47/$E$6</f>
        <v>1640.4199475065616</v>
      </c>
      <c r="D47" s="325">
        <f t="shared" si="5"/>
        <v>954.4535273691868</v>
      </c>
      <c r="E47" s="326">
        <f t="shared" si="6"/>
        <v>958.3064127583172</v>
      </c>
      <c r="F47" s="486">
        <f t="shared" si="58"/>
        <v>284.9582633794021</v>
      </c>
      <c r="G47" s="487">
        <f t="shared" si="40"/>
        <v>11.808263379402149</v>
      </c>
      <c r="H47" s="487">
        <f t="shared" si="41"/>
        <v>53.25487408292387</v>
      </c>
      <c r="I47" s="333">
        <f t="shared" si="42"/>
        <v>1.1715291650967525</v>
      </c>
      <c r="J47">
        <f t="shared" si="50"/>
        <v>956.368251532441</v>
      </c>
      <c r="K47" s="329">
        <f t="shared" si="62"/>
        <v>204.51135230272072</v>
      </c>
      <c r="L47" s="329">
        <f t="shared" si="62"/>
        <v>306.7670284540811</v>
      </c>
      <c r="M47" s="329">
        <f t="shared" si="62"/>
        <v>327.21816368435316</v>
      </c>
      <c r="N47" s="329">
        <f t="shared" si="62"/>
        <v>347.66929891462524</v>
      </c>
      <c r="O47" s="329">
        <f t="shared" si="62"/>
        <v>1022.5567615136036</v>
      </c>
      <c r="P47" s="329">
        <f t="shared" si="62"/>
        <v>388.5715693751694</v>
      </c>
      <c r="Q47" s="329">
        <f t="shared" si="62"/>
        <v>409.02270460544145</v>
      </c>
      <c r="R47" s="329">
        <f t="shared" si="62"/>
        <v>429.47383983571353</v>
      </c>
      <c r="S47" s="329">
        <f t="shared" si="62"/>
        <v>449.9249750659856</v>
      </c>
      <c r="T47" s="329">
        <f t="shared" si="62"/>
        <v>470.3761102962577</v>
      </c>
      <c r="U47" s="329">
        <f t="shared" si="62"/>
        <v>490.8272455265298</v>
      </c>
      <c r="V47" s="329">
        <f t="shared" si="62"/>
        <v>511.2783807568018</v>
      </c>
      <c r="W47" s="329">
        <f t="shared" si="62"/>
        <v>613.5340569081623</v>
      </c>
      <c r="X47" s="330">
        <f aca="true" t="shared" si="67" ref="X47:X61">Y47/25.4</f>
        <v>28.29885459826045</v>
      </c>
      <c r="Y47" s="331">
        <f t="shared" si="43"/>
        <v>718.7909067958154</v>
      </c>
      <c r="Z47" s="488">
        <f t="shared" si="66"/>
        <v>958.2842890951915</v>
      </c>
      <c r="AA47" s="332">
        <f t="shared" si="52"/>
        <v>921.9291552910341</v>
      </c>
      <c r="AB47" s="333">
        <f t="shared" si="59"/>
        <v>259.9582633794021</v>
      </c>
      <c r="AC47" s="334">
        <f t="shared" si="15"/>
        <v>-13.191736620597851</v>
      </c>
      <c r="AD47" s="335">
        <f t="shared" si="9"/>
        <v>28.561375095198684</v>
      </c>
      <c r="AE47" s="336">
        <f t="shared" si="63"/>
        <v>197.48423170659655</v>
      </c>
      <c r="AF47" s="336">
        <f t="shared" si="63"/>
        <v>263.3123089421287</v>
      </c>
      <c r="AG47" s="336">
        <f t="shared" si="63"/>
        <v>329.1403861776609</v>
      </c>
      <c r="AH47" s="336">
        <f t="shared" si="63"/>
        <v>394.9684634131931</v>
      </c>
      <c r="AI47" s="336">
        <f t="shared" si="63"/>
        <v>460.7965406487252</v>
      </c>
      <c r="AJ47" s="336">
        <f t="shared" si="63"/>
        <v>526.6246178842574</v>
      </c>
      <c r="AK47" s="336">
        <f t="shared" si="63"/>
        <v>592.4526951197896</v>
      </c>
      <c r="AL47" s="336">
        <f t="shared" si="63"/>
        <v>658.2807723553218</v>
      </c>
      <c r="AM47" s="336">
        <f t="shared" si="63"/>
        <v>789.9369268263862</v>
      </c>
      <c r="AN47" s="333">
        <f t="shared" si="30"/>
        <v>338.64888622279335</v>
      </c>
      <c r="AO47" s="333">
        <f t="shared" si="16"/>
        <v>1219.135990402056</v>
      </c>
      <c r="AP47" s="333">
        <f t="shared" si="17"/>
        <v>658.2807723553218</v>
      </c>
      <c r="AQ47" s="176">
        <f t="shared" si="31"/>
        <v>66663.16657929003</v>
      </c>
      <c r="AR47" s="333">
        <f t="shared" si="32"/>
        <v>1111.0527763215005</v>
      </c>
      <c r="AS47" s="337">
        <f t="shared" si="33"/>
        <v>284.96758530183723</v>
      </c>
      <c r="AT47" s="337">
        <f t="shared" si="18"/>
        <v>11.817585301837255</v>
      </c>
      <c r="AW47" s="361">
        <f aca="true" t="shared" si="68" ref="AW47:AW63">AX47/100</f>
        <v>16.404199475065617</v>
      </c>
      <c r="AX47" s="64">
        <f aca="true" t="shared" si="69" ref="AX47:AX63">C47</f>
        <v>1640.4199475065616</v>
      </c>
      <c r="AY47" s="251"/>
      <c r="AZ47" s="280">
        <f aca="true" t="shared" si="70" ref="AZ47:AZ63">B47/1000</f>
        <v>0.5</v>
      </c>
      <c r="BA47" s="280">
        <f aca="true" t="shared" si="71" ref="BA47:BA63">IF(AZ47&lt;11,$E$3-6.5*AZ47,$E$3-6.5*11)</f>
        <v>284.9</v>
      </c>
      <c r="BB47" s="280">
        <f aca="true" t="shared" si="72" ref="BB47:BB63">BB46</f>
        <v>0</v>
      </c>
      <c r="BC47">
        <f aca="true" t="shared" si="73" ref="BC47:BC63">BA47/$BA$15</f>
        <v>0.9887211521776852</v>
      </c>
      <c r="BD47">
        <f aca="true" t="shared" si="74" ref="BD47:BD63">IF(AX47&lt;36091,$C$3*POWER(1-0.02256*AZ47,5.26),226.32*EXP((-0.1577)*(AZ47-11)))</f>
        <v>954.557889696001</v>
      </c>
      <c r="BE47">
        <f aca="true" t="shared" si="75" ref="BE47:BE63">BD47/$BD$15</f>
        <v>0.9420753907683207</v>
      </c>
      <c r="BF47">
        <f aca="true" t="shared" si="76" ref="BF47:BF63">AN47</f>
        <v>338.64888622279335</v>
      </c>
      <c r="BG47">
        <f aca="true" t="shared" si="77" ref="BG47:BG63">BF47/BF$15</f>
        <v>0.9944462530810213</v>
      </c>
      <c r="BH47">
        <f aca="true" t="shared" si="78" ref="BH47:BH63">I47</f>
        <v>1.1715291650967525</v>
      </c>
      <c r="BI47">
        <f aca="true" t="shared" si="79" ref="BI47:BI63">BH47/BH$15</f>
        <v>0.9563682515324411</v>
      </c>
      <c r="BJ47">
        <f aca="true" t="shared" si="80" ref="BJ47:BJ63">SQRT(BI47)</f>
        <v>0.9779408221014404</v>
      </c>
      <c r="BK47" s="251"/>
      <c r="BL47" s="476"/>
      <c r="BM47" s="64">
        <f aca="true" t="shared" si="81" ref="BM47:BM63">AZ47</f>
        <v>0.5</v>
      </c>
      <c r="BN47">
        <f t="shared" si="65"/>
        <v>-45</v>
      </c>
      <c r="BO47">
        <f t="shared" si="65"/>
        <v>-20.659999999999997</v>
      </c>
      <c r="BP47">
        <f t="shared" si="65"/>
        <v>1.0135039999999975</v>
      </c>
      <c r="BQ47">
        <f t="shared" si="65"/>
        <v>11.75</v>
      </c>
      <c r="BR47">
        <f t="shared" si="65"/>
        <v>19.110943396226418</v>
      </c>
      <c r="BS47">
        <f t="shared" si="65"/>
        <v>24.773207547169804</v>
      </c>
      <c r="BT47">
        <f t="shared" si="65"/>
        <v>41.75999999999999</v>
      </c>
      <c r="BU47" s="489"/>
      <c r="BV47" s="490"/>
      <c r="BW47" s="487"/>
      <c r="BX47" s="491"/>
      <c r="BZ47" s="487"/>
      <c r="CA47" s="487"/>
      <c r="CB47" s="492"/>
      <c r="CD47" s="487"/>
      <c r="CE47" s="493"/>
      <c r="CF47" s="487"/>
      <c r="CG47" s="491"/>
      <c r="CH47" s="487"/>
    </row>
    <row r="48" spans="1:72" ht="12.75" customHeight="1" thickBot="1">
      <c r="A48" s="323">
        <f t="shared" si="48"/>
        <v>9.803586139985887</v>
      </c>
      <c r="B48" s="384">
        <v>1000</v>
      </c>
      <c r="C48" s="48">
        <f aca="true" t="shared" si="82" ref="C48:C63">B48/$E$6</f>
        <v>3280.839895013123</v>
      </c>
      <c r="D48" s="325">
        <f t="shared" si="5"/>
        <v>898.1492489762079</v>
      </c>
      <c r="E48" s="326">
        <f t="shared" si="6"/>
        <v>905.5216404970248</v>
      </c>
      <c r="F48" s="327">
        <f t="shared" si="58"/>
        <v>281.7665267588042</v>
      </c>
      <c r="G48" s="92">
        <f t="shared" si="40"/>
        <v>8.616526758804241</v>
      </c>
      <c r="H48" s="92">
        <f t="shared" si="41"/>
        <v>47.50974816584763</v>
      </c>
      <c r="I48">
        <f t="shared" si="42"/>
        <v>1.1195394479563447</v>
      </c>
      <c r="J48">
        <f t="shared" si="50"/>
        <v>913.9268711890574</v>
      </c>
      <c r="K48" s="329">
        <f t="shared" si="62"/>
        <v>209.20606574606495</v>
      </c>
      <c r="L48" s="329">
        <f t="shared" si="62"/>
        <v>313.8090986190974</v>
      </c>
      <c r="M48" s="329">
        <f t="shared" si="62"/>
        <v>334.7297051937039</v>
      </c>
      <c r="N48" s="329">
        <f t="shared" si="62"/>
        <v>355.6503117683104</v>
      </c>
      <c r="O48" s="329">
        <f t="shared" si="62"/>
        <v>1046.0303287303248</v>
      </c>
      <c r="P48" s="329">
        <f t="shared" si="62"/>
        <v>397.4915249175234</v>
      </c>
      <c r="Q48" s="329">
        <f t="shared" si="62"/>
        <v>418.4121314921299</v>
      </c>
      <c r="R48" s="329">
        <f t="shared" si="62"/>
        <v>439.3327380667364</v>
      </c>
      <c r="S48" s="329">
        <f t="shared" si="62"/>
        <v>460.2533446413429</v>
      </c>
      <c r="T48" s="329">
        <f t="shared" si="62"/>
        <v>481.1739512159494</v>
      </c>
      <c r="U48" s="329">
        <f t="shared" si="62"/>
        <v>502.0945577905559</v>
      </c>
      <c r="V48" s="329">
        <f t="shared" si="62"/>
        <v>523.0151643651624</v>
      </c>
      <c r="W48" s="329">
        <f t="shared" si="62"/>
        <v>627.6181972381949</v>
      </c>
      <c r="X48" s="330">
        <f t="shared" si="67"/>
        <v>26.740116625376487</v>
      </c>
      <c r="Y48" s="331">
        <f t="shared" si="43"/>
        <v>679.1989622845628</v>
      </c>
      <c r="Z48" s="286">
        <f t="shared" si="66"/>
        <v>905.4791459688885</v>
      </c>
      <c r="AA48" s="332">
        <f t="shared" si="52"/>
        <v>866.3723743641676</v>
      </c>
      <c r="AB48" s="333">
        <f t="shared" si="59"/>
        <v>256.7665267588042</v>
      </c>
      <c r="AC48" s="334">
        <f t="shared" si="15"/>
        <v>-16.38347324119576</v>
      </c>
      <c r="AD48" s="335">
        <f t="shared" si="9"/>
        <v>29.892391890941273</v>
      </c>
      <c r="AE48" s="336">
        <f t="shared" si="63"/>
        <v>196.3751348804461</v>
      </c>
      <c r="AF48" s="336">
        <f t="shared" si="63"/>
        <v>261.8335131739281</v>
      </c>
      <c r="AG48" s="336">
        <f t="shared" si="63"/>
        <v>327.29189146741015</v>
      </c>
      <c r="AH48" s="336">
        <f t="shared" si="63"/>
        <v>392.7502697608922</v>
      </c>
      <c r="AI48" s="336">
        <f t="shared" si="63"/>
        <v>458.2086480543742</v>
      </c>
      <c r="AJ48" s="336">
        <f t="shared" si="63"/>
        <v>523.6670263478562</v>
      </c>
      <c r="AK48" s="336">
        <f t="shared" si="63"/>
        <v>589.1254046413383</v>
      </c>
      <c r="AL48" s="336">
        <f t="shared" si="63"/>
        <v>654.5837829348203</v>
      </c>
      <c r="AM48" s="336">
        <f t="shared" si="63"/>
        <v>785.5005395217844</v>
      </c>
      <c r="AN48">
        <f t="shared" si="30"/>
        <v>336.74699055424645</v>
      </c>
      <c r="AO48">
        <f t="shared" si="16"/>
        <v>1212.2891659952872</v>
      </c>
      <c r="AP48">
        <f t="shared" si="17"/>
        <v>654.5837829348203</v>
      </c>
      <c r="AQ48" s="176">
        <f t="shared" si="31"/>
        <v>66288.77766815874</v>
      </c>
      <c r="AR48">
        <f t="shared" si="32"/>
        <v>1104.812961135979</v>
      </c>
      <c r="AS48" s="337">
        <f t="shared" si="33"/>
        <v>281.78517060367454</v>
      </c>
      <c r="AT48" s="337">
        <f t="shared" si="18"/>
        <v>8.635170603674567</v>
      </c>
      <c r="AW48" s="361">
        <f t="shared" si="68"/>
        <v>32.808398950131235</v>
      </c>
      <c r="AX48" s="64">
        <f t="shared" si="69"/>
        <v>3280.839895013123</v>
      </c>
      <c r="AZ48" s="280">
        <f t="shared" si="70"/>
        <v>1</v>
      </c>
      <c r="BA48" s="280">
        <f t="shared" si="71"/>
        <v>281.65</v>
      </c>
      <c r="BB48" s="280">
        <f t="shared" si="72"/>
        <v>0</v>
      </c>
      <c r="BC48">
        <f t="shared" si="73"/>
        <v>0.9774423043553705</v>
      </c>
      <c r="BD48">
        <f t="shared" si="74"/>
        <v>898.6500015151204</v>
      </c>
      <c r="BE48">
        <f t="shared" si="75"/>
        <v>0.8868985951296525</v>
      </c>
      <c r="BF48">
        <f t="shared" si="76"/>
        <v>336.74699055424645</v>
      </c>
      <c r="BG48">
        <f t="shared" si="77"/>
        <v>0.9888613151164145</v>
      </c>
      <c r="BH48">
        <f t="shared" si="78"/>
        <v>1.1195394479563447</v>
      </c>
      <c r="BI48">
        <f t="shared" si="79"/>
        <v>0.9139268711890575</v>
      </c>
      <c r="BJ48">
        <f t="shared" si="80"/>
        <v>0.955995225505367</v>
      </c>
      <c r="BL48" s="476"/>
      <c r="BM48" s="64">
        <f t="shared" si="81"/>
        <v>1</v>
      </c>
      <c r="BN48">
        <f t="shared" si="65"/>
        <v>-40</v>
      </c>
      <c r="BO48">
        <f t="shared" si="65"/>
        <v>-20.659999999999997</v>
      </c>
      <c r="BP48">
        <f t="shared" si="65"/>
        <v>-1.916095999999996</v>
      </c>
      <c r="BQ48">
        <f t="shared" si="65"/>
        <v>8.5</v>
      </c>
      <c r="BR48">
        <f t="shared" si="65"/>
        <v>15.860943396226418</v>
      </c>
      <c r="BS48">
        <f t="shared" si="65"/>
        <v>21.523207547169804</v>
      </c>
      <c r="BT48">
        <f t="shared" si="65"/>
        <v>38.50999999999999</v>
      </c>
    </row>
    <row r="49" spans="1:72" ht="15.75" thickBot="1">
      <c r="A49" s="323">
        <f t="shared" si="48"/>
        <v>9.802054748393742</v>
      </c>
      <c r="B49" s="384">
        <v>1500</v>
      </c>
      <c r="C49" s="48">
        <f t="shared" si="82"/>
        <v>4921.259842519685</v>
      </c>
      <c r="D49" s="325">
        <f t="shared" si="5"/>
        <v>844.2715487987763</v>
      </c>
      <c r="E49" s="326">
        <f t="shared" si="6"/>
        <v>854.8441400177192</v>
      </c>
      <c r="F49" s="327">
        <f t="shared" si="58"/>
        <v>278.57479013820637</v>
      </c>
      <c r="G49" s="92">
        <f t="shared" si="40"/>
        <v>5.42479013820639</v>
      </c>
      <c r="H49" s="92">
        <f t="shared" si="41"/>
        <v>41.7646222487715</v>
      </c>
      <c r="I49">
        <f t="shared" si="42"/>
        <v>1.0689935695638548</v>
      </c>
      <c r="J49">
        <f t="shared" si="50"/>
        <v>872.6641567978158</v>
      </c>
      <c r="K49" s="329">
        <f t="shared" si="62"/>
        <v>214.09495149379106</v>
      </c>
      <c r="L49" s="329">
        <f t="shared" si="62"/>
        <v>321.1424272406866</v>
      </c>
      <c r="M49" s="329">
        <f t="shared" si="62"/>
        <v>342.55192239006567</v>
      </c>
      <c r="N49" s="329">
        <f t="shared" si="62"/>
        <v>363.96141753944477</v>
      </c>
      <c r="O49" s="329">
        <f t="shared" si="62"/>
        <v>1070.4747574689552</v>
      </c>
      <c r="P49" s="329">
        <f t="shared" si="62"/>
        <v>406.78040783820296</v>
      </c>
      <c r="Q49" s="329">
        <f t="shared" si="62"/>
        <v>428.1899029875821</v>
      </c>
      <c r="R49" s="329">
        <f t="shared" si="62"/>
        <v>449.5993981369612</v>
      </c>
      <c r="S49" s="329">
        <f t="shared" si="62"/>
        <v>471.0088932863403</v>
      </c>
      <c r="T49" s="329">
        <f t="shared" si="62"/>
        <v>492.4183884357194</v>
      </c>
      <c r="U49" s="329">
        <f t="shared" si="62"/>
        <v>513.8278835850986</v>
      </c>
      <c r="V49" s="329">
        <f t="shared" si="62"/>
        <v>535.2373787344776</v>
      </c>
      <c r="W49" s="329">
        <f t="shared" si="62"/>
        <v>642.2848544813731</v>
      </c>
      <c r="X49" s="330">
        <f t="shared" si="67"/>
        <v>25.243606533850233</v>
      </c>
      <c r="Y49" s="331">
        <f t="shared" si="43"/>
        <v>641.1876059597959</v>
      </c>
      <c r="Z49" s="286">
        <f t="shared" si="66"/>
        <v>854.7829641270274</v>
      </c>
      <c r="AA49" s="332">
        <f t="shared" si="52"/>
        <v>813.2620553231085</v>
      </c>
      <c r="AB49" s="333">
        <f t="shared" si="59"/>
        <v>253.57479013820637</v>
      </c>
      <c r="AC49" s="334">
        <f t="shared" si="15"/>
        <v>-19.57520986179361</v>
      </c>
      <c r="AD49" s="335">
        <f t="shared" si="9"/>
        <v>31.31070314493125</v>
      </c>
      <c r="AE49" s="336">
        <f t="shared" si="63"/>
        <v>195.2597383637551</v>
      </c>
      <c r="AF49" s="336">
        <f t="shared" si="63"/>
        <v>260.34631781834014</v>
      </c>
      <c r="AG49" s="336">
        <f t="shared" si="63"/>
        <v>325.4328972729252</v>
      </c>
      <c r="AH49" s="336">
        <f t="shared" si="63"/>
        <v>390.5194767275102</v>
      </c>
      <c r="AI49" s="336">
        <f t="shared" si="63"/>
        <v>455.6060561820952</v>
      </c>
      <c r="AJ49" s="336">
        <f t="shared" si="63"/>
        <v>520.6926356366803</v>
      </c>
      <c r="AK49" s="336">
        <f t="shared" si="63"/>
        <v>585.7792150912653</v>
      </c>
      <c r="AL49" s="336">
        <f t="shared" si="63"/>
        <v>650.8657945458503</v>
      </c>
      <c r="AM49" s="336">
        <f t="shared" si="63"/>
        <v>781.0389534550204</v>
      </c>
      <c r="AN49">
        <f t="shared" si="30"/>
        <v>334.83429208303187</v>
      </c>
      <c r="AO49">
        <f t="shared" si="16"/>
        <v>1205.4034514989148</v>
      </c>
      <c r="AP49">
        <f t="shared" si="17"/>
        <v>650.8657945458503</v>
      </c>
      <c r="AQ49" s="176">
        <f t="shared" si="31"/>
        <v>65912.26222106926</v>
      </c>
      <c r="AR49">
        <f t="shared" si="32"/>
        <v>1098.5377036844877</v>
      </c>
      <c r="AS49" s="337">
        <f t="shared" si="33"/>
        <v>278.6027559055118</v>
      </c>
      <c r="AT49" s="337">
        <f t="shared" si="18"/>
        <v>5.452755905511822</v>
      </c>
      <c r="AW49" s="361">
        <f t="shared" si="68"/>
        <v>49.212598425196845</v>
      </c>
      <c r="AX49" s="64">
        <f t="shared" si="69"/>
        <v>4921.259842519685</v>
      </c>
      <c r="AZ49" s="280">
        <f t="shared" si="70"/>
        <v>1.5</v>
      </c>
      <c r="BA49" s="280">
        <f t="shared" si="71"/>
        <v>278.4</v>
      </c>
      <c r="BB49" s="280">
        <f t="shared" si="72"/>
        <v>0</v>
      </c>
      <c r="BC49">
        <f t="shared" si="73"/>
        <v>0.9661634565330557</v>
      </c>
      <c r="BD49">
        <f t="shared" si="74"/>
        <v>845.424117303753</v>
      </c>
      <c r="BE49">
        <f t="shared" si="75"/>
        <v>0.8343687316099215</v>
      </c>
      <c r="BF49">
        <f t="shared" si="76"/>
        <v>334.83429208303187</v>
      </c>
      <c r="BG49">
        <f t="shared" si="77"/>
        <v>0.983244654600597</v>
      </c>
      <c r="BH49">
        <f t="shared" si="78"/>
        <v>1.0689935695638548</v>
      </c>
      <c r="BI49">
        <f t="shared" si="79"/>
        <v>0.8726641567978158</v>
      </c>
      <c r="BJ49">
        <f t="shared" si="80"/>
        <v>0.9341649515999922</v>
      </c>
      <c r="BL49" s="476"/>
      <c r="BM49" s="64">
        <f t="shared" si="81"/>
        <v>1.5</v>
      </c>
      <c r="BN49">
        <f t="shared" si="65"/>
        <v>-35</v>
      </c>
      <c r="BO49">
        <f t="shared" si="65"/>
        <v>-20.659999999999997</v>
      </c>
      <c r="BP49">
        <f t="shared" si="65"/>
        <v>-4.845696000000004</v>
      </c>
      <c r="BQ49">
        <f t="shared" si="65"/>
        <v>5.25</v>
      </c>
      <c r="BR49">
        <f t="shared" si="65"/>
        <v>12.610943396226418</v>
      </c>
      <c r="BS49">
        <f t="shared" si="65"/>
        <v>18.273207547169804</v>
      </c>
      <c r="BT49">
        <f t="shared" si="65"/>
        <v>35.25999999999999</v>
      </c>
    </row>
    <row r="50" spans="1:72" ht="15.75" thickBot="1">
      <c r="A50" s="323">
        <f t="shared" si="48"/>
        <v>9.800523715595359</v>
      </c>
      <c r="B50" s="384">
        <v>2000</v>
      </c>
      <c r="C50" s="48">
        <f t="shared" si="82"/>
        <v>6561.679790026246</v>
      </c>
      <c r="D50" s="325">
        <f t="shared" si="5"/>
        <v>792.7554710716873</v>
      </c>
      <c r="E50" s="326">
        <f t="shared" si="6"/>
        <v>806.2227780923752</v>
      </c>
      <c r="F50" s="327">
        <f t="shared" si="58"/>
        <v>275.38305351760846</v>
      </c>
      <c r="G50" s="92">
        <f t="shared" si="40"/>
        <v>2.2330535176084823</v>
      </c>
      <c r="H50" s="92">
        <f t="shared" si="41"/>
        <v>36.019496331695265</v>
      </c>
      <c r="I50">
        <f t="shared" si="42"/>
        <v>1.0198770490668323</v>
      </c>
      <c r="J50">
        <f t="shared" si="50"/>
        <v>832.568287033263</v>
      </c>
      <c r="K50" s="329">
        <f t="shared" si="62"/>
        <v>219.18966024816785</v>
      </c>
      <c r="L50" s="329">
        <f t="shared" si="62"/>
        <v>328.7844903722518</v>
      </c>
      <c r="M50" s="329">
        <f t="shared" si="62"/>
        <v>350.7034563970686</v>
      </c>
      <c r="N50" s="329">
        <f t="shared" si="62"/>
        <v>372.62242242188535</v>
      </c>
      <c r="O50" s="329">
        <f t="shared" si="62"/>
        <v>1095.9483012408393</v>
      </c>
      <c r="P50" s="329">
        <f t="shared" si="62"/>
        <v>416.46035447151894</v>
      </c>
      <c r="Q50" s="329">
        <f t="shared" si="62"/>
        <v>438.3793204963357</v>
      </c>
      <c r="R50" s="329">
        <f t="shared" si="62"/>
        <v>460.2982865211525</v>
      </c>
      <c r="S50" s="329">
        <f t="shared" si="62"/>
        <v>482.2172525459693</v>
      </c>
      <c r="T50" s="329">
        <f t="shared" si="62"/>
        <v>504.13621857078607</v>
      </c>
      <c r="U50" s="329">
        <f t="shared" si="62"/>
        <v>526.0551845956029</v>
      </c>
      <c r="V50" s="329">
        <f t="shared" si="62"/>
        <v>547.9741506204197</v>
      </c>
      <c r="W50" s="329">
        <f t="shared" si="62"/>
        <v>657.5689807445036</v>
      </c>
      <c r="X50" s="330">
        <f t="shared" si="67"/>
        <v>23.807814355924247</v>
      </c>
      <c r="Y50" s="331">
        <f t="shared" si="43"/>
        <v>604.7184846404758</v>
      </c>
      <c r="Z50" s="286">
        <f t="shared" si="66"/>
        <v>806.1445477228459</v>
      </c>
      <c r="AA50" s="332">
        <f t="shared" si="52"/>
        <v>762.5312894135598</v>
      </c>
      <c r="AB50" s="333">
        <f t="shared" si="59"/>
        <v>250.38305351760846</v>
      </c>
      <c r="AC50" s="334">
        <f t="shared" si="15"/>
        <v>-22.766946482391518</v>
      </c>
      <c r="AD50" s="335">
        <f t="shared" si="9"/>
        <v>32.82373023713871</v>
      </c>
      <c r="AE50" s="336">
        <f t="shared" si="63"/>
        <v>194.13793357417495</v>
      </c>
      <c r="AF50" s="336">
        <f t="shared" si="63"/>
        <v>258.8505780989</v>
      </c>
      <c r="AG50" s="336">
        <f t="shared" si="63"/>
        <v>323.56322262362494</v>
      </c>
      <c r="AH50" s="336">
        <f t="shared" si="63"/>
        <v>388.2758671483499</v>
      </c>
      <c r="AI50" s="336">
        <f t="shared" si="63"/>
        <v>452.98851167307487</v>
      </c>
      <c r="AJ50" s="336">
        <f t="shared" si="63"/>
        <v>517.7011561978</v>
      </c>
      <c r="AK50" s="336">
        <f t="shared" si="63"/>
        <v>582.4138007225249</v>
      </c>
      <c r="AL50" s="336">
        <f t="shared" si="63"/>
        <v>647.1264452472499</v>
      </c>
      <c r="AM50" s="336">
        <f t="shared" si="63"/>
        <v>776.5517342966998</v>
      </c>
      <c r="AN50">
        <f t="shared" si="30"/>
        <v>332.9106046105296</v>
      </c>
      <c r="AO50">
        <f t="shared" si="16"/>
        <v>1198.4781765979067</v>
      </c>
      <c r="AP50">
        <f t="shared" si="17"/>
        <v>647.1264452472499</v>
      </c>
      <c r="AQ50" s="176">
        <f t="shared" si="31"/>
        <v>65533.58358474992</v>
      </c>
      <c r="AR50">
        <f t="shared" si="32"/>
        <v>1092.2263930791653</v>
      </c>
      <c r="AS50" s="337">
        <f t="shared" si="33"/>
        <v>275.42034120734905</v>
      </c>
      <c r="AT50" s="337">
        <f t="shared" si="18"/>
        <v>2.2703412073490767</v>
      </c>
      <c r="AW50" s="361">
        <f t="shared" si="68"/>
        <v>65.61679790026247</v>
      </c>
      <c r="AX50" s="64">
        <f t="shared" si="69"/>
        <v>6561.679790026246</v>
      </c>
      <c r="AZ50" s="280">
        <f t="shared" si="70"/>
        <v>2</v>
      </c>
      <c r="BA50" s="280">
        <f t="shared" si="71"/>
        <v>275.15</v>
      </c>
      <c r="BB50" s="280">
        <f t="shared" si="72"/>
        <v>0</v>
      </c>
      <c r="BC50">
        <f t="shared" si="73"/>
        <v>0.9548846087107409</v>
      </c>
      <c r="BD50">
        <f t="shared" si="74"/>
        <v>794.7806503338421</v>
      </c>
      <c r="BE50">
        <f t="shared" si="75"/>
        <v>0.7843875157501526</v>
      </c>
      <c r="BF50">
        <f t="shared" si="76"/>
        <v>332.9106046105296</v>
      </c>
      <c r="BG50">
        <f t="shared" si="77"/>
        <v>0.9775957247592325</v>
      </c>
      <c r="BH50">
        <f t="shared" si="78"/>
        <v>1.0198770490668323</v>
      </c>
      <c r="BI50">
        <f t="shared" si="79"/>
        <v>0.832568287033263</v>
      </c>
      <c r="BJ50">
        <f t="shared" si="80"/>
        <v>0.9124517998411001</v>
      </c>
      <c r="BL50" s="476"/>
      <c r="BM50" s="64">
        <f t="shared" si="81"/>
        <v>2</v>
      </c>
      <c r="BN50">
        <f t="shared" si="65"/>
        <v>-35</v>
      </c>
      <c r="BO50">
        <f t="shared" si="65"/>
        <v>-21.071776</v>
      </c>
      <c r="BP50">
        <f t="shared" si="65"/>
        <v>-7.775295999999997</v>
      </c>
      <c r="BQ50">
        <f t="shared" si="65"/>
        <v>2</v>
      </c>
      <c r="BR50">
        <f t="shared" si="65"/>
        <v>9.360943396226418</v>
      </c>
      <c r="BS50">
        <f t="shared" si="65"/>
        <v>15.023207547169804</v>
      </c>
      <c r="BT50">
        <f t="shared" si="65"/>
        <v>32.00999999999999</v>
      </c>
    </row>
    <row r="51" spans="1:72" ht="15.75" thickBot="1">
      <c r="A51" s="323">
        <f t="shared" si="48"/>
        <v>9.798993041478665</v>
      </c>
      <c r="B51" s="384">
        <v>2500</v>
      </c>
      <c r="C51" s="48">
        <f t="shared" si="82"/>
        <v>8202.099737532808</v>
      </c>
      <c r="D51" s="325">
        <f t="shared" si="5"/>
        <v>743.536723361148</v>
      </c>
      <c r="E51" s="326">
        <f t="shared" si="6"/>
        <v>759.606834947786</v>
      </c>
      <c r="F51" s="327">
        <f t="shared" si="58"/>
        <v>272.1913168970106</v>
      </c>
      <c r="G51" s="92">
        <f t="shared" si="40"/>
        <v>-0.9586831029893688</v>
      </c>
      <c r="H51" s="92">
        <f t="shared" si="41"/>
        <v>30.274370414619135</v>
      </c>
      <c r="I51">
        <f t="shared" si="42"/>
        <v>0.972175255554443</v>
      </c>
      <c r="J51">
        <f t="shared" si="50"/>
        <v>793.6273180710112</v>
      </c>
      <c r="K51" s="329">
        <f t="shared" si="62"/>
        <v>224.5027635404881</v>
      </c>
      <c r="L51" s="329">
        <f t="shared" si="62"/>
        <v>336.75414531073216</v>
      </c>
      <c r="M51" s="329">
        <f t="shared" si="62"/>
        <v>359.20442166478097</v>
      </c>
      <c r="N51" s="329">
        <f t="shared" si="62"/>
        <v>381.6546980188298</v>
      </c>
      <c r="O51" s="329">
        <f t="shared" si="62"/>
        <v>1122.5138177024405</v>
      </c>
      <c r="P51" s="329">
        <f t="shared" si="62"/>
        <v>426.5552507269274</v>
      </c>
      <c r="Q51" s="329">
        <f t="shared" si="62"/>
        <v>449.0055270809762</v>
      </c>
      <c r="R51" s="329">
        <f t="shared" si="62"/>
        <v>471.455803435025</v>
      </c>
      <c r="S51" s="329">
        <f aca="true" t="shared" si="83" ref="S51:W63">S$10/SQRT($J51/1000)</f>
        <v>493.90607978907383</v>
      </c>
      <c r="T51" s="329">
        <f t="shared" si="83"/>
        <v>516.3563561431226</v>
      </c>
      <c r="U51" s="329">
        <f t="shared" si="83"/>
        <v>538.8066324971714</v>
      </c>
      <c r="V51" s="329">
        <f t="shared" si="83"/>
        <v>561.2569088512203</v>
      </c>
      <c r="W51" s="329">
        <f t="shared" si="83"/>
        <v>673.5082906214643</v>
      </c>
      <c r="X51" s="330">
        <f t="shared" si="67"/>
        <v>22.431242333190426</v>
      </c>
      <c r="Y51" s="331">
        <f t="shared" si="43"/>
        <v>569.7535552630368</v>
      </c>
      <c r="Z51" s="286">
        <f t="shared" si="66"/>
        <v>759.5131150485728</v>
      </c>
      <c r="AA51" s="332">
        <f t="shared" si="52"/>
        <v>714.1138643855414</v>
      </c>
      <c r="AB51" s="333">
        <f t="shared" si="59"/>
        <v>247.1913168970106</v>
      </c>
      <c r="AC51" s="334">
        <f t="shared" si="15"/>
        <v>-25.95868310298937</v>
      </c>
      <c r="AD51" s="335">
        <f t="shared" si="9"/>
        <v>34.43967346821417</v>
      </c>
      <c r="AE51" s="336">
        <f t="shared" si="63"/>
        <v>193.00960877381067</v>
      </c>
      <c r="AF51" s="336">
        <f t="shared" si="63"/>
        <v>257.3461450317476</v>
      </c>
      <c r="AG51" s="336">
        <f t="shared" si="63"/>
        <v>321.68268128968447</v>
      </c>
      <c r="AH51" s="336">
        <f t="shared" si="63"/>
        <v>386.01921754762134</v>
      </c>
      <c r="AI51" s="336">
        <f t="shared" si="63"/>
        <v>450.3557538055582</v>
      </c>
      <c r="AJ51" s="336">
        <f t="shared" si="63"/>
        <v>514.6922900634952</v>
      </c>
      <c r="AK51" s="336">
        <f t="shared" si="63"/>
        <v>579.028826321432</v>
      </c>
      <c r="AL51" s="336">
        <f t="shared" si="63"/>
        <v>643.3653625793689</v>
      </c>
      <c r="AM51" s="336">
        <f t="shared" si="63"/>
        <v>772.0384350952427</v>
      </c>
      <c r="AN51">
        <f t="shared" si="30"/>
        <v>330.975736526942</v>
      </c>
      <c r="AO51">
        <f t="shared" si="16"/>
        <v>1191.5126514969913</v>
      </c>
      <c r="AP51">
        <f t="shared" si="17"/>
        <v>643.3653625793689</v>
      </c>
      <c r="AQ51" s="176">
        <f t="shared" si="31"/>
        <v>65152.704040736615</v>
      </c>
      <c r="AR51">
        <f t="shared" si="32"/>
        <v>1085.8784006789435</v>
      </c>
      <c r="AS51" s="337">
        <f t="shared" si="33"/>
        <v>272.2379265091863</v>
      </c>
      <c r="AT51" s="337">
        <f t="shared" si="18"/>
        <v>-0.9120734908136683</v>
      </c>
      <c r="AW51" s="361">
        <f t="shared" si="68"/>
        <v>82.02099737532808</v>
      </c>
      <c r="AX51" s="64">
        <f t="shared" si="69"/>
        <v>8202.099737532808</v>
      </c>
      <c r="AZ51" s="280">
        <f t="shared" si="70"/>
        <v>2.5</v>
      </c>
      <c r="BA51" s="280">
        <f t="shared" si="71"/>
        <v>271.9</v>
      </c>
      <c r="BB51" s="280">
        <f t="shared" si="72"/>
        <v>0</v>
      </c>
      <c r="BC51">
        <f t="shared" si="73"/>
        <v>0.9436057608884262</v>
      </c>
      <c r="BD51">
        <f t="shared" si="74"/>
        <v>746.6226070977539</v>
      </c>
      <c r="BE51">
        <f t="shared" si="75"/>
        <v>0.7368592224009414</v>
      </c>
      <c r="BF51">
        <f t="shared" si="76"/>
        <v>330.975736526942</v>
      </c>
      <c r="BG51">
        <f t="shared" si="77"/>
        <v>0.9719139629280009</v>
      </c>
      <c r="BH51">
        <f t="shared" si="78"/>
        <v>0.972175255554443</v>
      </c>
      <c r="BI51">
        <f t="shared" si="79"/>
        <v>0.7936273180710113</v>
      </c>
      <c r="BJ51">
        <f t="shared" si="80"/>
        <v>0.89085763064084</v>
      </c>
      <c r="BL51" s="476"/>
      <c r="BM51" s="64">
        <f t="shared" si="81"/>
        <v>2.5</v>
      </c>
      <c r="BN51">
        <f t="shared" si="65"/>
        <v>-35</v>
      </c>
      <c r="BO51">
        <f t="shared" si="65"/>
        <v>-23.645376000000006</v>
      </c>
      <c r="BP51">
        <f t="shared" si="65"/>
        <v>-10.704895999999998</v>
      </c>
      <c r="BQ51">
        <f t="shared" si="65"/>
        <v>-1.25</v>
      </c>
      <c r="BR51">
        <f t="shared" si="65"/>
        <v>6.110943396226418</v>
      </c>
      <c r="BS51">
        <f t="shared" si="65"/>
        <v>11.773207547169804</v>
      </c>
      <c r="BT51">
        <f t="shared" si="65"/>
        <v>28.75999999999999</v>
      </c>
    </row>
    <row r="52" spans="1:72" ht="15.75" thickBot="1">
      <c r="A52" s="323">
        <f t="shared" si="48"/>
        <v>9.797462725931632</v>
      </c>
      <c r="B52" s="384">
        <v>3000</v>
      </c>
      <c r="C52" s="48">
        <f t="shared" si="82"/>
        <v>9842.51968503937</v>
      </c>
      <c r="D52" s="325">
        <f t="shared" si="5"/>
        <v>696.551679754712</v>
      </c>
      <c r="E52" s="326">
        <f t="shared" si="6"/>
        <v>714.9460078388914</v>
      </c>
      <c r="F52" s="327">
        <f t="shared" si="58"/>
        <v>268.99958027641276</v>
      </c>
      <c r="G52" s="92">
        <f t="shared" si="40"/>
        <v>-4.15041972358722</v>
      </c>
      <c r="H52" s="92">
        <f t="shared" si="41"/>
        <v>24.529244497543004</v>
      </c>
      <c r="I52">
        <f t="shared" si="42"/>
        <v>0.925873403782647</v>
      </c>
      <c r="J52">
        <f t="shared" si="50"/>
        <v>755.8291800980231</v>
      </c>
      <c r="K52" s="329">
        <f aca="true" t="shared" si="84" ref="K52:R63">K$10/SQRT($J52/1000)</f>
        <v>230.0478444965883</v>
      </c>
      <c r="L52" s="329">
        <f t="shared" si="84"/>
        <v>345.07176674488244</v>
      </c>
      <c r="M52" s="329">
        <f t="shared" si="84"/>
        <v>368.0765511945413</v>
      </c>
      <c r="N52" s="329">
        <f t="shared" si="84"/>
        <v>391.0813356442001</v>
      </c>
      <c r="O52" s="329">
        <f t="shared" si="84"/>
        <v>1150.2392224829416</v>
      </c>
      <c r="P52" s="329">
        <f t="shared" si="84"/>
        <v>437.0909045435178</v>
      </c>
      <c r="Q52" s="329">
        <f t="shared" si="84"/>
        <v>460.0956889931766</v>
      </c>
      <c r="R52" s="329">
        <f t="shared" si="84"/>
        <v>483.10047344283544</v>
      </c>
      <c r="S52" s="329">
        <f t="shared" si="83"/>
        <v>506.10525789249425</v>
      </c>
      <c r="T52" s="329">
        <f t="shared" si="83"/>
        <v>529.1100423421531</v>
      </c>
      <c r="U52" s="329">
        <f t="shared" si="83"/>
        <v>552.1148267918119</v>
      </c>
      <c r="V52" s="329">
        <f t="shared" si="83"/>
        <v>575.1196112414708</v>
      </c>
      <c r="W52" s="329">
        <f t="shared" si="83"/>
        <v>690.1435334897649</v>
      </c>
      <c r="X52" s="330">
        <f t="shared" si="67"/>
        <v>21.112405022110682</v>
      </c>
      <c r="Y52" s="331">
        <f t="shared" si="43"/>
        <v>536.2550875616113</v>
      </c>
      <c r="Z52" s="286">
        <f t="shared" si="66"/>
        <v>714.8383021162373</v>
      </c>
      <c r="AA52" s="332">
        <f t="shared" si="52"/>
        <v>667.9442679836061</v>
      </c>
      <c r="AB52" s="333">
        <f t="shared" si="59"/>
        <v>243.99958027641276</v>
      </c>
      <c r="AC52" s="334">
        <f t="shared" si="15"/>
        <v>-29.15041972358722</v>
      </c>
      <c r="AD52" s="335">
        <f t="shared" si="9"/>
        <v>36.16760979233945</v>
      </c>
      <c r="AE52" s="336">
        <f t="shared" si="63"/>
        <v>191.8746489393222</v>
      </c>
      <c r="AF52" s="336">
        <f t="shared" si="63"/>
        <v>255.83286525242963</v>
      </c>
      <c r="AG52" s="336">
        <f t="shared" si="63"/>
        <v>319.791081565537</v>
      </c>
      <c r="AH52" s="336">
        <f t="shared" si="63"/>
        <v>383.7492978786444</v>
      </c>
      <c r="AI52" s="336">
        <f t="shared" si="63"/>
        <v>447.7075141917518</v>
      </c>
      <c r="AJ52" s="336">
        <f t="shared" si="63"/>
        <v>511.66573050485925</v>
      </c>
      <c r="AK52" s="336">
        <f t="shared" si="63"/>
        <v>575.6239468179666</v>
      </c>
      <c r="AL52" s="336">
        <f t="shared" si="63"/>
        <v>639.582163131074</v>
      </c>
      <c r="AM52" s="336">
        <f t="shared" si="63"/>
        <v>767.4985957572889</v>
      </c>
      <c r="AN52">
        <f t="shared" si="30"/>
        <v>329.0294905885414</v>
      </c>
      <c r="AO52">
        <f t="shared" si="16"/>
        <v>1184.5061661187492</v>
      </c>
      <c r="AP52">
        <f t="shared" si="17"/>
        <v>639.582163131074</v>
      </c>
      <c r="AQ52" s="176">
        <f t="shared" si="31"/>
        <v>64769.584761523896</v>
      </c>
      <c r="AR52">
        <f t="shared" si="32"/>
        <v>1079.4930793587316</v>
      </c>
      <c r="AS52" s="337">
        <f t="shared" si="33"/>
        <v>269.0555118110236</v>
      </c>
      <c r="AT52" s="337">
        <f t="shared" si="18"/>
        <v>-4.0944881889763565</v>
      </c>
      <c r="AW52" s="361">
        <f t="shared" si="68"/>
        <v>98.42519685039369</v>
      </c>
      <c r="AX52" s="64">
        <f t="shared" si="69"/>
        <v>9842.51968503937</v>
      </c>
      <c r="AZ52" s="280">
        <f t="shared" si="70"/>
        <v>3</v>
      </c>
      <c r="BA52" s="280">
        <f t="shared" si="71"/>
        <v>268.65</v>
      </c>
      <c r="BB52" s="280">
        <f t="shared" si="72"/>
        <v>0</v>
      </c>
      <c r="BC52">
        <f t="shared" si="73"/>
        <v>0.9323269130661114</v>
      </c>
      <c r="BD52">
        <f t="shared" si="74"/>
        <v>700.8555492189458</v>
      </c>
      <c r="BE52">
        <f t="shared" si="75"/>
        <v>0.6916906481312074</v>
      </c>
      <c r="BF52">
        <f t="shared" si="76"/>
        <v>329.0294905885414</v>
      </c>
      <c r="BG52">
        <f t="shared" si="77"/>
        <v>0.9661987898984835</v>
      </c>
      <c r="BH52">
        <f t="shared" si="78"/>
        <v>0.925873403782647</v>
      </c>
      <c r="BI52">
        <f t="shared" si="79"/>
        <v>0.755829180098023</v>
      </c>
      <c r="BJ52">
        <f t="shared" si="80"/>
        <v>0.8693843684458693</v>
      </c>
      <c r="BL52" s="476"/>
      <c r="BM52" s="64">
        <f t="shared" si="81"/>
        <v>3</v>
      </c>
      <c r="BN52">
        <f t="shared" si="65"/>
        <v>-35</v>
      </c>
      <c r="BO52">
        <f t="shared" si="65"/>
        <v>-26.218976000000005</v>
      </c>
      <c r="BP52">
        <f t="shared" si="65"/>
        <v>-13.634495999999999</v>
      </c>
      <c r="BQ52">
        <f t="shared" si="65"/>
        <v>-4.5</v>
      </c>
      <c r="BR52">
        <f t="shared" si="65"/>
        <v>2.8609433962264177</v>
      </c>
      <c r="BS52">
        <f t="shared" si="65"/>
        <v>8.523207547169804</v>
      </c>
      <c r="BT52">
        <f t="shared" si="65"/>
        <v>25.50999999999999</v>
      </c>
    </row>
    <row r="53" spans="1:72" ht="15.75" thickBot="1">
      <c r="A53" s="323">
        <f t="shared" si="48"/>
        <v>9.795932768842272</v>
      </c>
      <c r="B53" s="384">
        <v>3500</v>
      </c>
      <c r="C53" s="48">
        <f t="shared" si="82"/>
        <v>11482.939632545931</v>
      </c>
      <c r="D53" s="325">
        <f t="shared" si="5"/>
        <v>651.7373841722392</v>
      </c>
      <c r="E53" s="326">
        <f t="shared" si="6"/>
        <v>672.1904147148316</v>
      </c>
      <c r="F53" s="327">
        <f t="shared" si="58"/>
        <v>265.80784365581485</v>
      </c>
      <c r="G53" s="92">
        <f t="shared" si="40"/>
        <v>-7.342156344185128</v>
      </c>
      <c r="H53" s="92">
        <f t="shared" si="41"/>
        <v>18.784118580466767</v>
      </c>
      <c r="I53">
        <f t="shared" si="42"/>
        <v>0.8809565497129215</v>
      </c>
      <c r="J53">
        <f t="shared" si="50"/>
        <v>719.1616736706833</v>
      </c>
      <c r="K53" s="329">
        <f t="shared" si="84"/>
        <v>235.83959937458468</v>
      </c>
      <c r="L53" s="329">
        <f t="shared" si="84"/>
        <v>353.75939906187705</v>
      </c>
      <c r="M53" s="329">
        <f t="shared" si="84"/>
        <v>377.3433589993355</v>
      </c>
      <c r="N53" s="329">
        <f t="shared" si="84"/>
        <v>400.927318936794</v>
      </c>
      <c r="O53" s="329">
        <f t="shared" si="84"/>
        <v>1179.1979968729233</v>
      </c>
      <c r="P53" s="329">
        <f t="shared" si="84"/>
        <v>448.0952388117109</v>
      </c>
      <c r="Q53" s="329">
        <f t="shared" si="84"/>
        <v>471.67919874916936</v>
      </c>
      <c r="R53" s="329">
        <f t="shared" si="84"/>
        <v>495.26315868662783</v>
      </c>
      <c r="S53" s="329">
        <f t="shared" si="83"/>
        <v>518.8471186240863</v>
      </c>
      <c r="T53" s="329">
        <f t="shared" si="83"/>
        <v>542.4310785615448</v>
      </c>
      <c r="U53" s="329">
        <f t="shared" si="83"/>
        <v>566.0150384990033</v>
      </c>
      <c r="V53" s="329">
        <f t="shared" si="83"/>
        <v>589.5989984364617</v>
      </c>
      <c r="W53" s="329">
        <f t="shared" si="83"/>
        <v>707.5187981237541</v>
      </c>
      <c r="X53" s="330">
        <f t="shared" si="67"/>
        <v>19.849829402275716</v>
      </c>
      <c r="Y53" s="331">
        <f t="shared" si="43"/>
        <v>504.18566681780317</v>
      </c>
      <c r="Z53" s="286">
        <f t="shared" si="66"/>
        <v>672.0701663314327</v>
      </c>
      <c r="AA53" s="332">
        <f t="shared" si="52"/>
        <v>623.9576915711</v>
      </c>
      <c r="AB53" s="333">
        <f t="shared" si="59"/>
        <v>240.80784365581485</v>
      </c>
      <c r="AC53" s="334">
        <f t="shared" si="15"/>
        <v>-32.34215634418513</v>
      </c>
      <c r="AD53" s="335">
        <f t="shared" si="9"/>
        <v>38.01760488001657</v>
      </c>
      <c r="AE53" s="336">
        <f t="shared" si="63"/>
        <v>190.7329356250693</v>
      </c>
      <c r="AF53" s="336">
        <f t="shared" si="63"/>
        <v>254.31058083342575</v>
      </c>
      <c r="AG53" s="336">
        <f t="shared" si="63"/>
        <v>317.88822604178216</v>
      </c>
      <c r="AH53" s="336">
        <f t="shared" si="63"/>
        <v>381.4658712501386</v>
      </c>
      <c r="AI53" s="336">
        <f t="shared" si="63"/>
        <v>445.043516458495</v>
      </c>
      <c r="AJ53" s="336">
        <f t="shared" si="63"/>
        <v>508.6211616668515</v>
      </c>
      <c r="AK53" s="336">
        <f t="shared" si="63"/>
        <v>572.1988068752079</v>
      </c>
      <c r="AL53" s="336">
        <f t="shared" si="63"/>
        <v>635.7764520835643</v>
      </c>
      <c r="AM53" s="336">
        <f t="shared" si="63"/>
        <v>762.9317425002772</v>
      </c>
      <c r="AN53">
        <f t="shared" si="30"/>
        <v>327.07166368298914</v>
      </c>
      <c r="AO53">
        <f t="shared" si="16"/>
        <v>1177.457989258761</v>
      </c>
      <c r="AP53">
        <f t="shared" si="17"/>
        <v>635.7764520835643</v>
      </c>
      <c r="AQ53" s="176">
        <f t="shared" si="31"/>
        <v>64384.18576436794</v>
      </c>
      <c r="AR53">
        <f t="shared" si="32"/>
        <v>1073.0697627394657</v>
      </c>
      <c r="AS53" s="337">
        <f t="shared" si="33"/>
        <v>265.8730971128609</v>
      </c>
      <c r="AT53" s="337">
        <f t="shared" si="18"/>
        <v>-7.2769028871391015</v>
      </c>
      <c r="AW53" s="361">
        <f t="shared" si="68"/>
        <v>114.82939632545931</v>
      </c>
      <c r="AX53" s="64">
        <f t="shared" si="69"/>
        <v>11482.939632545931</v>
      </c>
      <c r="AZ53" s="280">
        <f t="shared" si="70"/>
        <v>3.5</v>
      </c>
      <c r="BA53" s="280">
        <f t="shared" si="71"/>
        <v>265.4</v>
      </c>
      <c r="BB53" s="280">
        <f t="shared" si="72"/>
        <v>0</v>
      </c>
      <c r="BC53">
        <f t="shared" si="73"/>
        <v>0.9210480652437967</v>
      </c>
      <c r="BD53">
        <f t="shared" si="74"/>
        <v>657.3875554794552</v>
      </c>
      <c r="BE53">
        <f t="shared" si="75"/>
        <v>0.648791073752238</v>
      </c>
      <c r="BF53">
        <f t="shared" si="76"/>
        <v>327.07166368298914</v>
      </c>
      <c r="BG53">
        <f t="shared" si="77"/>
        <v>0.9604496092290193</v>
      </c>
      <c r="BH53">
        <f t="shared" si="78"/>
        <v>0.8809565497129215</v>
      </c>
      <c r="BI53">
        <f t="shared" si="79"/>
        <v>0.7191616736706832</v>
      </c>
      <c r="BJ53">
        <f t="shared" si="80"/>
        <v>0.8480340050202487</v>
      </c>
      <c r="BL53" s="476"/>
      <c r="BM53" s="64">
        <f t="shared" si="81"/>
        <v>3.5</v>
      </c>
      <c r="BN53">
        <f t="shared" si="65"/>
        <v>-37.36</v>
      </c>
      <c r="BO53">
        <f t="shared" si="65"/>
        <v>-28.792576000000004</v>
      </c>
      <c r="BP53">
        <f t="shared" si="65"/>
        <v>-16.564096</v>
      </c>
      <c r="BQ53">
        <f t="shared" si="65"/>
        <v>-7.75</v>
      </c>
      <c r="BR53">
        <f t="shared" si="65"/>
        <v>-0.3890566037735823</v>
      </c>
      <c r="BS53">
        <f t="shared" si="65"/>
        <v>5.273207547169804</v>
      </c>
      <c r="BT53">
        <f t="shared" si="65"/>
        <v>22.25999999999999</v>
      </c>
    </row>
    <row r="54" spans="1:72" ht="15.75" thickBot="1">
      <c r="A54" s="323">
        <f t="shared" si="48"/>
        <v>9.794403170098636</v>
      </c>
      <c r="B54" s="384">
        <v>4000</v>
      </c>
      <c r="C54" s="48">
        <f>B54/$E$6</f>
        <v>13123.359580052493</v>
      </c>
      <c r="D54" s="325">
        <f t="shared" si="5"/>
        <v>609.0315538036803</v>
      </c>
      <c r="E54" s="326">
        <f t="shared" si="6"/>
        <v>631.2905979817906</v>
      </c>
      <c r="F54" s="327">
        <f t="shared" si="58"/>
        <v>262.616107035217</v>
      </c>
      <c r="G54" s="92">
        <f t="shared" si="40"/>
        <v>-10.533892964782979</v>
      </c>
      <c r="H54" s="92">
        <f t="shared" si="41"/>
        <v>13.038992663390637</v>
      </c>
      <c r="I54">
        <f t="shared" si="42"/>
        <v>0.8374095858540459</v>
      </c>
      <c r="J54">
        <f t="shared" si="50"/>
        <v>683.6124659121041</v>
      </c>
      <c r="K54" s="329">
        <f t="shared" si="84"/>
        <v>241.8939513769169</v>
      </c>
      <c r="L54" s="329">
        <f t="shared" si="84"/>
        <v>362.84092706537535</v>
      </c>
      <c r="M54" s="329">
        <f t="shared" si="84"/>
        <v>387.03032220306704</v>
      </c>
      <c r="N54" s="329">
        <f t="shared" si="84"/>
        <v>411.21971734075873</v>
      </c>
      <c r="O54" s="329">
        <f t="shared" si="84"/>
        <v>1209.4697568845845</v>
      </c>
      <c r="P54" s="329">
        <f t="shared" si="84"/>
        <v>459.5985076161421</v>
      </c>
      <c r="Q54" s="329">
        <f t="shared" si="84"/>
        <v>483.7879027538338</v>
      </c>
      <c r="R54" s="329">
        <f t="shared" si="84"/>
        <v>507.9772978915255</v>
      </c>
      <c r="S54" s="329">
        <f t="shared" si="83"/>
        <v>532.1666930292172</v>
      </c>
      <c r="T54" s="329">
        <f t="shared" si="83"/>
        <v>556.3560881669089</v>
      </c>
      <c r="U54" s="329">
        <f t="shared" si="83"/>
        <v>580.5454833046006</v>
      </c>
      <c r="V54" s="329">
        <f t="shared" si="83"/>
        <v>604.7348784422923</v>
      </c>
      <c r="W54" s="329">
        <f t="shared" si="83"/>
        <v>725.6818541307507</v>
      </c>
      <c r="X54" s="330">
        <f t="shared" si="67"/>
        <v>18.642054987522087</v>
      </c>
      <c r="Y54" s="331">
        <f t="shared" si="43"/>
        <v>473.508196683061</v>
      </c>
      <c r="Z54" s="286">
        <f t="shared" si="66"/>
        <v>631.1591902641202</v>
      </c>
      <c r="AA54" s="332">
        <f t="shared" si="52"/>
        <v>582.0900338950354</v>
      </c>
      <c r="AB54" s="333">
        <f t="shared" si="59"/>
        <v>237.616107035217</v>
      </c>
      <c r="AC54" s="334">
        <f t="shared" si="15"/>
        <v>-35.53389296478298</v>
      </c>
      <c r="AD54" s="335">
        <f t="shared" si="9"/>
        <v>40.00084192493203</v>
      </c>
      <c r="AE54" s="336">
        <f t="shared" si="63"/>
        <v>189.58434681883816</v>
      </c>
      <c r="AF54" s="336">
        <f t="shared" si="63"/>
        <v>252.77912909178423</v>
      </c>
      <c r="AG54" s="336">
        <f t="shared" si="63"/>
        <v>315.97391136473027</v>
      </c>
      <c r="AH54" s="336">
        <f t="shared" si="63"/>
        <v>379.1686936376763</v>
      </c>
      <c r="AI54" s="336">
        <f t="shared" si="63"/>
        <v>442.36347591062236</v>
      </c>
      <c r="AJ54" s="336">
        <f t="shared" si="63"/>
        <v>505.55825818356846</v>
      </c>
      <c r="AK54" s="336">
        <f t="shared" si="63"/>
        <v>568.7530404565146</v>
      </c>
      <c r="AL54" s="336">
        <f t="shared" si="63"/>
        <v>631.9478227294605</v>
      </c>
      <c r="AM54" s="336">
        <f t="shared" si="63"/>
        <v>758.3373872753526</v>
      </c>
      <c r="AN54">
        <f t="shared" si="30"/>
        <v>325.10204658193356</v>
      </c>
      <c r="AO54">
        <f t="shared" si="16"/>
        <v>1170.3673676949609</v>
      </c>
      <c r="AP54">
        <f t="shared" si="17"/>
        <v>631.9478227294605</v>
      </c>
      <c r="AQ54" s="176">
        <f t="shared" si="31"/>
        <v>63996.46586258535</v>
      </c>
      <c r="AR54">
        <f t="shared" si="32"/>
        <v>1066.6077643764224</v>
      </c>
      <c r="AS54" s="337">
        <f t="shared" si="33"/>
        <v>262.69068241469813</v>
      </c>
      <c r="AT54" s="337">
        <f t="shared" si="18"/>
        <v>-10.459317585301847</v>
      </c>
      <c r="AW54" s="361">
        <f t="shared" si="68"/>
        <v>131.23359580052494</v>
      </c>
      <c r="AX54" s="64">
        <f t="shared" si="69"/>
        <v>13123.359580052493</v>
      </c>
      <c r="AZ54" s="280">
        <f t="shared" si="70"/>
        <v>4</v>
      </c>
      <c r="BA54" s="280">
        <f t="shared" si="71"/>
        <v>262.15</v>
      </c>
      <c r="BB54" s="280">
        <f t="shared" si="72"/>
        <v>0</v>
      </c>
      <c r="BC54">
        <f t="shared" si="73"/>
        <v>0.9097692174214819</v>
      </c>
      <c r="BD54">
        <f t="shared" si="74"/>
        <v>616.1291839652317</v>
      </c>
      <c r="BE54">
        <f t="shared" si="75"/>
        <v>0.6080722269580378</v>
      </c>
      <c r="BF54">
        <f t="shared" si="76"/>
        <v>325.10204658193356</v>
      </c>
      <c r="BG54">
        <f t="shared" si="77"/>
        <v>0.9546658065182068</v>
      </c>
      <c r="BH54">
        <f t="shared" si="78"/>
        <v>0.8374095858540459</v>
      </c>
      <c r="BI54">
        <f t="shared" si="79"/>
        <v>0.6836124659121041</v>
      </c>
      <c r="BJ54">
        <f t="shared" si="80"/>
        <v>0.8268086029499839</v>
      </c>
      <c r="BL54" s="476"/>
      <c r="BM54" s="64">
        <f t="shared" si="81"/>
        <v>4</v>
      </c>
      <c r="BN54">
        <f t="shared" si="65"/>
        <v>-39.720000000000006</v>
      </c>
      <c r="BO54">
        <f t="shared" si="65"/>
        <v>-31.366176000000003</v>
      </c>
      <c r="BP54">
        <f t="shared" si="65"/>
        <v>-19.493696</v>
      </c>
      <c r="BQ54">
        <f t="shared" si="65"/>
        <v>-11</v>
      </c>
      <c r="BR54">
        <f t="shared" si="65"/>
        <v>-3.6390566037735823</v>
      </c>
      <c r="BS54">
        <f t="shared" si="65"/>
        <v>2.023207547169804</v>
      </c>
      <c r="BT54">
        <f t="shared" si="65"/>
        <v>19.00999999999999</v>
      </c>
    </row>
    <row r="55" spans="1:72" ht="15.75" thickBot="1">
      <c r="A55" s="323">
        <f t="shared" si="48"/>
        <v>9.791345047201002</v>
      </c>
      <c r="B55" s="384">
        <v>5000</v>
      </c>
      <c r="C55" s="48">
        <f t="shared" si="82"/>
        <v>16404.199475065616</v>
      </c>
      <c r="D55" s="325">
        <f t="shared" si="5"/>
        <v>529.6995453828932</v>
      </c>
      <c r="E55" s="326">
        <f t="shared" si="6"/>
        <v>554.8626088881563</v>
      </c>
      <c r="F55" s="327">
        <f t="shared" si="58"/>
        <v>256.23263379402124</v>
      </c>
      <c r="G55" s="92">
        <f t="shared" si="40"/>
        <v>-16.917366205978738</v>
      </c>
      <c r="H55" s="92">
        <f t="shared" si="41"/>
        <v>1.5487408292382732</v>
      </c>
      <c r="I55">
        <f t="shared" si="42"/>
        <v>0.7543640521226838</v>
      </c>
      <c r="J55">
        <f t="shared" si="50"/>
        <v>615.8189237123399</v>
      </c>
      <c r="K55" s="329">
        <f t="shared" si="84"/>
        <v>254.8610573146572</v>
      </c>
      <c r="L55" s="329">
        <f t="shared" si="84"/>
        <v>382.29158597198574</v>
      </c>
      <c r="M55" s="329">
        <f t="shared" si="84"/>
        <v>407.77769170345147</v>
      </c>
      <c r="N55" s="329">
        <f t="shared" si="84"/>
        <v>433.2637974349172</v>
      </c>
      <c r="O55" s="329">
        <f t="shared" si="84"/>
        <v>1274.305286573286</v>
      </c>
      <c r="P55" s="329">
        <f t="shared" si="84"/>
        <v>484.23600889784865</v>
      </c>
      <c r="Q55" s="329">
        <f t="shared" si="84"/>
        <v>509.7221146293144</v>
      </c>
      <c r="R55" s="329">
        <f t="shared" si="84"/>
        <v>535.20822036078</v>
      </c>
      <c r="S55" s="329">
        <f t="shared" si="83"/>
        <v>560.6943260922458</v>
      </c>
      <c r="T55" s="329">
        <f t="shared" si="83"/>
        <v>586.1804318237115</v>
      </c>
      <c r="U55" s="329">
        <f t="shared" si="83"/>
        <v>611.6665375551772</v>
      </c>
      <c r="V55" s="329">
        <f t="shared" si="83"/>
        <v>637.152643286643</v>
      </c>
      <c r="W55" s="329">
        <f t="shared" si="83"/>
        <v>764.5831719439715</v>
      </c>
      <c r="X55" s="330">
        <f t="shared" si="67"/>
        <v>16.38513118757288</v>
      </c>
      <c r="Y55" s="331">
        <f t="shared" si="43"/>
        <v>416.1823321643512</v>
      </c>
      <c r="Z55" s="286">
        <f t="shared" si="66"/>
        <v>554.7127967226915</v>
      </c>
      <c r="AA55" s="332">
        <f t="shared" si="52"/>
        <v>504.45863028884526</v>
      </c>
      <c r="AB55" s="333">
        <f t="shared" si="59"/>
        <v>231.23263379402124</v>
      </c>
      <c r="AC55" s="334">
        <f t="shared" si="15"/>
        <v>-41.91736620597874</v>
      </c>
      <c r="AD55" s="335">
        <f t="shared" si="9"/>
        <v>44.41827589013093</v>
      </c>
      <c r="AE55" s="336">
        <f t="shared" si="63"/>
        <v>187.26603592713462</v>
      </c>
      <c r="AF55" s="336">
        <f t="shared" si="63"/>
        <v>249.68804790284617</v>
      </c>
      <c r="AG55" s="336">
        <f t="shared" si="63"/>
        <v>312.1100598785577</v>
      </c>
      <c r="AH55" s="336">
        <f t="shared" si="63"/>
        <v>374.53207185426925</v>
      </c>
      <c r="AI55" s="336">
        <f t="shared" si="63"/>
        <v>436.9540838299808</v>
      </c>
      <c r="AJ55" s="336">
        <f t="shared" si="63"/>
        <v>499.37609580569233</v>
      </c>
      <c r="AK55" s="336">
        <f t="shared" si="63"/>
        <v>561.7981077814039</v>
      </c>
      <c r="AL55" s="336">
        <f t="shared" si="63"/>
        <v>624.2201197571154</v>
      </c>
      <c r="AM55" s="336">
        <f t="shared" si="63"/>
        <v>749.0641437085385</v>
      </c>
      <c r="AN55">
        <f t="shared" si="30"/>
        <v>321.1265727194938</v>
      </c>
      <c r="AO55">
        <f t="shared" si="16"/>
        <v>1156.0556617901777</v>
      </c>
      <c r="AP55">
        <f t="shared" si="17"/>
        <v>624.2201197571154</v>
      </c>
      <c r="AQ55" s="176">
        <f t="shared" si="31"/>
        <v>63213.892267616895</v>
      </c>
      <c r="AR55">
        <f t="shared" si="32"/>
        <v>1053.5648711269482</v>
      </c>
      <c r="AS55" s="337">
        <f t="shared" si="33"/>
        <v>256.3258530183727</v>
      </c>
      <c r="AT55" s="337">
        <f t="shared" si="18"/>
        <v>-16.82414698162728</v>
      </c>
      <c r="AW55" s="361">
        <f t="shared" si="68"/>
        <v>164.04199475065616</v>
      </c>
      <c r="AX55" s="64">
        <f t="shared" si="69"/>
        <v>16404.199475065616</v>
      </c>
      <c r="AZ55" s="280">
        <f t="shared" si="70"/>
        <v>5</v>
      </c>
      <c r="BA55" s="280">
        <f t="shared" si="71"/>
        <v>255.64999999999998</v>
      </c>
      <c r="BB55" s="280">
        <f t="shared" si="72"/>
        <v>0</v>
      </c>
      <c r="BC55">
        <f t="shared" si="73"/>
        <v>0.8872115217768524</v>
      </c>
      <c r="BD55">
        <f t="shared" si="74"/>
        <v>539.8957101812982</v>
      </c>
      <c r="BE55">
        <f t="shared" si="75"/>
        <v>0.5328356379780885</v>
      </c>
      <c r="BF55">
        <f t="shared" si="76"/>
        <v>321.1265727194938</v>
      </c>
      <c r="BG55">
        <f t="shared" si="77"/>
        <v>0.94299178292752</v>
      </c>
      <c r="BH55">
        <f t="shared" si="78"/>
        <v>0.7543640521226838</v>
      </c>
      <c r="BI55">
        <f t="shared" si="79"/>
        <v>0.6158189237123399</v>
      </c>
      <c r="BJ55">
        <f t="shared" si="80"/>
        <v>0.7847413100585058</v>
      </c>
      <c r="BL55" s="476"/>
      <c r="BM55" s="64">
        <f t="shared" si="81"/>
        <v>5</v>
      </c>
      <c r="BN55">
        <f t="shared" si="65"/>
        <v>-44.440000000000005</v>
      </c>
      <c r="BO55">
        <f t="shared" si="65"/>
        <v>-36.513376</v>
      </c>
      <c r="BP55">
        <f t="shared" si="65"/>
        <v>-25.352896</v>
      </c>
      <c r="BQ55">
        <f t="shared" si="65"/>
        <v>-17.5</v>
      </c>
      <c r="BR55">
        <f t="shared" si="65"/>
        <v>-10.139056603773582</v>
      </c>
      <c r="BS55">
        <f t="shared" si="65"/>
        <v>-4.476792452830196</v>
      </c>
      <c r="BT55">
        <f t="shared" si="65"/>
        <v>12.509999999999991</v>
      </c>
    </row>
    <row r="56" spans="1:72" ht="15.75" thickBot="1">
      <c r="A56" s="323">
        <f t="shared" si="48"/>
        <v>9.78828835634404</v>
      </c>
      <c r="B56" s="384">
        <v>6000</v>
      </c>
      <c r="C56" s="48">
        <f t="shared" si="82"/>
        <v>19685.03937007874</v>
      </c>
      <c r="D56" s="325">
        <f t="shared" si="5"/>
        <v>458.0709966511429</v>
      </c>
      <c r="E56" s="326">
        <f t="shared" si="6"/>
        <v>485.2750184607737</v>
      </c>
      <c r="F56" s="327">
        <f t="shared" si="58"/>
        <v>249.8491605528255</v>
      </c>
      <c r="G56" s="92">
        <f t="shared" si="40"/>
        <v>-23.300839447174468</v>
      </c>
      <c r="H56" s="92">
        <f t="shared" si="41"/>
        <v>-9.941511004914041</v>
      </c>
      <c r="I56">
        <f t="shared" si="42"/>
        <v>0.6766124830834255</v>
      </c>
      <c r="J56">
        <f t="shared" si="50"/>
        <v>552.3470662875712</v>
      </c>
      <c r="K56" s="329">
        <f t="shared" si="84"/>
        <v>269.1063649141872</v>
      </c>
      <c r="L56" s="329">
        <f t="shared" si="84"/>
        <v>403.65954737128084</v>
      </c>
      <c r="M56" s="329">
        <f t="shared" si="84"/>
        <v>430.5701838626996</v>
      </c>
      <c r="N56" s="329">
        <f t="shared" si="84"/>
        <v>457.4808203541183</v>
      </c>
      <c r="O56" s="329">
        <f t="shared" si="84"/>
        <v>1345.5318245709361</v>
      </c>
      <c r="P56" s="329">
        <f t="shared" si="84"/>
        <v>511.30209333695575</v>
      </c>
      <c r="Q56" s="329">
        <f t="shared" si="84"/>
        <v>538.2127298283744</v>
      </c>
      <c r="R56" s="329">
        <f t="shared" si="84"/>
        <v>565.1233663197933</v>
      </c>
      <c r="S56" s="329">
        <f t="shared" si="83"/>
        <v>592.034002811212</v>
      </c>
      <c r="T56" s="329">
        <f t="shared" si="83"/>
        <v>618.9446393026307</v>
      </c>
      <c r="U56" s="329">
        <f t="shared" si="83"/>
        <v>645.8552757940494</v>
      </c>
      <c r="V56" s="329">
        <f t="shared" si="83"/>
        <v>672.7659122854681</v>
      </c>
      <c r="W56" s="329">
        <f t="shared" si="83"/>
        <v>807.3190947425617</v>
      </c>
      <c r="X56" s="330">
        <f t="shared" si="67"/>
        <v>14.33020483298483</v>
      </c>
      <c r="Y56" s="331">
        <f t="shared" si="43"/>
        <v>363.98720275781466</v>
      </c>
      <c r="Z56" s="286">
        <f t="shared" si="66"/>
        <v>485.1116351708009</v>
      </c>
      <c r="AA56" s="332">
        <f t="shared" si="52"/>
        <v>434.5515474340625</v>
      </c>
      <c r="AB56" s="333">
        <f t="shared" si="59"/>
        <v>224.8491605528255</v>
      </c>
      <c r="AC56" s="334">
        <f t="shared" si="15"/>
        <v>-48.30083944717447</v>
      </c>
      <c r="AD56" s="335">
        <f t="shared" si="9"/>
        <v>49.53797805829012</v>
      </c>
      <c r="AE56" s="336">
        <f t="shared" si="63"/>
        <v>184.918662835854</v>
      </c>
      <c r="AF56" s="336">
        <f t="shared" si="63"/>
        <v>246.55821711447203</v>
      </c>
      <c r="AG56" s="336">
        <f t="shared" si="63"/>
        <v>308.19777139309</v>
      </c>
      <c r="AH56" s="336">
        <f t="shared" si="63"/>
        <v>369.837325671708</v>
      </c>
      <c r="AI56" s="336">
        <f t="shared" si="63"/>
        <v>431.476879950326</v>
      </c>
      <c r="AJ56" s="336">
        <f t="shared" si="63"/>
        <v>493.11643422894406</v>
      </c>
      <c r="AK56" s="336">
        <f t="shared" si="63"/>
        <v>554.755988507562</v>
      </c>
      <c r="AL56" s="336">
        <f t="shared" si="63"/>
        <v>616.39554278618</v>
      </c>
      <c r="AM56" s="336">
        <f t="shared" si="63"/>
        <v>739.674651343416</v>
      </c>
      <c r="AN56">
        <f t="shared" si="30"/>
        <v>317.10126256666814</v>
      </c>
      <c r="AO56">
        <f t="shared" si="16"/>
        <v>1141.5645452400054</v>
      </c>
      <c r="AP56">
        <f t="shared" si="17"/>
        <v>616.39554278618</v>
      </c>
      <c r="AQ56" s="176">
        <f t="shared" si="31"/>
        <v>62421.50837926538</v>
      </c>
      <c r="AR56">
        <f t="shared" si="32"/>
        <v>1040.3584729877564</v>
      </c>
      <c r="AS56" s="337">
        <f t="shared" si="33"/>
        <v>249.96102362204724</v>
      </c>
      <c r="AT56" s="337">
        <f t="shared" si="18"/>
        <v>-23.18897637795274</v>
      </c>
      <c r="AW56" s="361">
        <f t="shared" si="68"/>
        <v>196.85039370078738</v>
      </c>
      <c r="AX56" s="64">
        <f t="shared" si="69"/>
        <v>19685.03937007874</v>
      </c>
      <c r="AZ56" s="280">
        <f t="shared" si="70"/>
        <v>6</v>
      </c>
      <c r="BA56" s="280">
        <f t="shared" si="71"/>
        <v>249.14999999999998</v>
      </c>
      <c r="BB56" s="280">
        <f t="shared" si="72"/>
        <v>0</v>
      </c>
      <c r="BC56">
        <f t="shared" si="73"/>
        <v>0.8646538261322227</v>
      </c>
      <c r="BD56">
        <f t="shared" si="74"/>
        <v>471.4877476819384</v>
      </c>
      <c r="BE56">
        <f t="shared" si="75"/>
        <v>0.46532222815883384</v>
      </c>
      <c r="BF56">
        <f t="shared" si="76"/>
        <v>317.10126256666814</v>
      </c>
      <c r="BG56">
        <f t="shared" si="77"/>
        <v>0.9311714145110918</v>
      </c>
      <c r="BH56">
        <f t="shared" si="78"/>
        <v>0.6766124830834255</v>
      </c>
      <c r="BI56">
        <f t="shared" si="79"/>
        <v>0.5523470662875712</v>
      </c>
      <c r="BJ56">
        <f t="shared" si="80"/>
        <v>0.7432005558983196</v>
      </c>
      <c r="BL56" s="476"/>
      <c r="BM56" s="64">
        <f t="shared" si="81"/>
        <v>6</v>
      </c>
      <c r="BN56">
        <f t="shared" si="65"/>
        <v>-49.160000000000004</v>
      </c>
      <c r="BO56">
        <f t="shared" si="65"/>
        <v>-41.660576</v>
      </c>
      <c r="BP56">
        <f t="shared" si="65"/>
        <v>-31.212095999999995</v>
      </c>
      <c r="BQ56">
        <f t="shared" si="65"/>
        <v>-24</v>
      </c>
      <c r="BR56">
        <f t="shared" si="65"/>
        <v>-16.639056603773582</v>
      </c>
      <c r="BS56">
        <f t="shared" si="65"/>
        <v>-10.976792452830196</v>
      </c>
      <c r="BT56">
        <f t="shared" si="65"/>
        <v>6.009999999999991</v>
      </c>
    </row>
    <row r="57" spans="1:72" ht="15.75" thickBot="1">
      <c r="A57" s="323">
        <f t="shared" si="48"/>
        <v>9.785233096633787</v>
      </c>
      <c r="B57" s="384">
        <v>7000</v>
      </c>
      <c r="C57" s="48">
        <f t="shared" si="82"/>
        <v>22965.879265091862</v>
      </c>
      <c r="D57" s="325">
        <f t="shared" si="5"/>
        <v>393.67226578294697</v>
      </c>
      <c r="E57" s="326">
        <f t="shared" si="6"/>
        <v>422.14785464589175</v>
      </c>
      <c r="F57" s="327">
        <f t="shared" si="58"/>
        <v>243.46568731162978</v>
      </c>
      <c r="G57" s="92">
        <f t="shared" si="40"/>
        <v>-29.6843126883702</v>
      </c>
      <c r="H57" s="92">
        <f t="shared" si="41"/>
        <v>-21.43176283906636</v>
      </c>
      <c r="I57">
        <f t="shared" si="42"/>
        <v>0.604027608514418</v>
      </c>
      <c r="J57">
        <f t="shared" si="50"/>
        <v>493.09299763318114</v>
      </c>
      <c r="K57" s="329">
        <f t="shared" si="84"/>
        <v>284.81678384065026</v>
      </c>
      <c r="L57" s="329">
        <f t="shared" si="84"/>
        <v>427.2251757609754</v>
      </c>
      <c r="M57" s="329">
        <f t="shared" si="84"/>
        <v>455.70685414504044</v>
      </c>
      <c r="N57" s="329">
        <f t="shared" si="84"/>
        <v>484.1885325291055</v>
      </c>
      <c r="O57" s="329">
        <f t="shared" si="84"/>
        <v>1424.0839192032513</v>
      </c>
      <c r="P57" s="329">
        <f t="shared" si="84"/>
        <v>541.1518892972356</v>
      </c>
      <c r="Q57" s="329">
        <f t="shared" si="84"/>
        <v>569.6335676813005</v>
      </c>
      <c r="R57" s="329">
        <f t="shared" si="84"/>
        <v>598.1152460653656</v>
      </c>
      <c r="S57" s="329">
        <f t="shared" si="83"/>
        <v>626.5969244494306</v>
      </c>
      <c r="T57" s="329">
        <f t="shared" si="83"/>
        <v>655.0786028334957</v>
      </c>
      <c r="U57" s="329">
        <f t="shared" si="83"/>
        <v>683.5602812175607</v>
      </c>
      <c r="V57" s="329">
        <f t="shared" si="83"/>
        <v>712.0419596016256</v>
      </c>
      <c r="W57" s="329">
        <f t="shared" si="83"/>
        <v>854.4503515219508</v>
      </c>
      <c r="X57" s="330">
        <f t="shared" si="67"/>
        <v>12.46605532275042</v>
      </c>
      <c r="Y57" s="331">
        <f t="shared" si="43"/>
        <v>316.63780519786064</v>
      </c>
      <c r="Z57" s="286">
        <f t="shared" si="66"/>
        <v>421.9752812039856</v>
      </c>
      <c r="AA57" s="332">
        <f t="shared" si="52"/>
        <v>371.881861010627</v>
      </c>
      <c r="AB57" s="333">
        <f t="shared" si="59"/>
        <v>218.46568731162978</v>
      </c>
      <c r="AC57" s="334">
        <f t="shared" si="15"/>
        <v>-54.6843126883702</v>
      </c>
      <c r="AD57" s="335">
        <f t="shared" si="9"/>
        <v>55.50819077482364</v>
      </c>
      <c r="AE57" s="336">
        <f t="shared" si="63"/>
        <v>182.54110637918689</v>
      </c>
      <c r="AF57" s="336">
        <f t="shared" si="63"/>
        <v>243.38814183891589</v>
      </c>
      <c r="AG57" s="336">
        <f t="shared" si="63"/>
        <v>304.2351772986448</v>
      </c>
      <c r="AH57" s="336">
        <f t="shared" si="63"/>
        <v>365.08221275837377</v>
      </c>
      <c r="AI57" s="336">
        <f t="shared" si="63"/>
        <v>425.9292482181027</v>
      </c>
      <c r="AJ57" s="336">
        <f t="shared" si="63"/>
        <v>486.77628367783177</v>
      </c>
      <c r="AK57" s="336">
        <f t="shared" si="63"/>
        <v>547.6233191375607</v>
      </c>
      <c r="AL57" s="336">
        <f t="shared" si="63"/>
        <v>608.4703545972897</v>
      </c>
      <c r="AM57" s="336">
        <f t="shared" si="63"/>
        <v>730.1644255167475</v>
      </c>
      <c r="AN57">
        <f t="shared" si="30"/>
        <v>313.0241935317168</v>
      </c>
      <c r="AO57">
        <f t="shared" si="16"/>
        <v>1126.8870967141804</v>
      </c>
      <c r="AP57">
        <f t="shared" si="17"/>
        <v>608.4703545972897</v>
      </c>
      <c r="AQ57" s="176">
        <f t="shared" si="31"/>
        <v>61618.93573458991</v>
      </c>
      <c r="AR57">
        <f t="shared" si="32"/>
        <v>1026.9822622431652</v>
      </c>
      <c r="AS57" s="337">
        <f t="shared" si="33"/>
        <v>243.59619422572177</v>
      </c>
      <c r="AT57" s="337">
        <f t="shared" si="18"/>
        <v>-29.553805774278203</v>
      </c>
      <c r="AW57" s="361">
        <f t="shared" si="68"/>
        <v>229.65879265091863</v>
      </c>
      <c r="AX57" s="64">
        <f t="shared" si="69"/>
        <v>22965.879265091862</v>
      </c>
      <c r="AZ57" s="280">
        <f t="shared" si="70"/>
        <v>7</v>
      </c>
      <c r="BA57" s="280">
        <f t="shared" si="71"/>
        <v>242.64999999999998</v>
      </c>
      <c r="BB57" s="280">
        <f t="shared" si="72"/>
        <v>0</v>
      </c>
      <c r="BC57">
        <f t="shared" si="73"/>
        <v>0.8420961304875932</v>
      </c>
      <c r="BD57">
        <f t="shared" si="74"/>
        <v>410.2751826304496</v>
      </c>
      <c r="BE57">
        <f t="shared" si="75"/>
        <v>0.40491012349415206</v>
      </c>
      <c r="BF57">
        <f t="shared" si="76"/>
        <v>313.0241935317168</v>
      </c>
      <c r="BG57">
        <f t="shared" si="77"/>
        <v>0.9191990555567124</v>
      </c>
      <c r="BH57">
        <f t="shared" si="78"/>
        <v>0.604027608514418</v>
      </c>
      <c r="BI57">
        <f t="shared" si="79"/>
        <v>0.49309299763318115</v>
      </c>
      <c r="BJ57">
        <f t="shared" si="80"/>
        <v>0.7022058086011402</v>
      </c>
      <c r="BL57" s="476"/>
      <c r="BM57" s="64">
        <f t="shared" si="81"/>
        <v>7</v>
      </c>
      <c r="BN57">
        <f t="shared" si="65"/>
        <v>-53.88</v>
      </c>
      <c r="BO57">
        <f t="shared" si="65"/>
        <v>-46.807776000000004</v>
      </c>
      <c r="BP57">
        <f t="shared" si="65"/>
        <v>-37.071296</v>
      </c>
      <c r="BQ57">
        <f t="shared" si="65"/>
        <v>-30.5</v>
      </c>
      <c r="BR57">
        <f t="shared" si="65"/>
        <v>-23.139056603773582</v>
      </c>
      <c r="BS57">
        <f t="shared" si="65"/>
        <v>-17.476792452830196</v>
      </c>
      <c r="BT57">
        <f t="shared" si="65"/>
        <v>-0.49000000000000554</v>
      </c>
    </row>
    <row r="58" spans="1:72" ht="15.75" thickBot="1">
      <c r="A58" s="323">
        <f t="shared" si="48"/>
        <v>9.782179267176952</v>
      </c>
      <c r="B58" s="384">
        <v>8000</v>
      </c>
      <c r="C58" s="48">
        <f t="shared" si="82"/>
        <v>26246.719160104985</v>
      </c>
      <c r="D58" s="325">
        <f t="shared" si="5"/>
        <v>336.0408634136446</v>
      </c>
      <c r="E58" s="326">
        <f t="shared" si="6"/>
        <v>365.1083357277764</v>
      </c>
      <c r="F58" s="327">
        <f t="shared" si="58"/>
        <v>237.08221407043402</v>
      </c>
      <c r="G58" s="92">
        <f t="shared" si="40"/>
        <v>-36.06778592956596</v>
      </c>
      <c r="H58" s="92">
        <f t="shared" si="41"/>
        <v>-32.922014673218726</v>
      </c>
      <c r="I58">
        <f t="shared" si="42"/>
        <v>0.5364790163792219</v>
      </c>
      <c r="J58">
        <f t="shared" si="50"/>
        <v>437.95025694991335</v>
      </c>
      <c r="K58" s="329">
        <f t="shared" si="84"/>
        <v>302.2161042260799</v>
      </c>
      <c r="L58" s="329">
        <f t="shared" si="84"/>
        <v>453.32415633911984</v>
      </c>
      <c r="M58" s="329">
        <f t="shared" si="84"/>
        <v>483.5457667617278</v>
      </c>
      <c r="N58" s="329">
        <f t="shared" si="84"/>
        <v>513.7673771843358</v>
      </c>
      <c r="O58" s="329">
        <f t="shared" si="84"/>
        <v>1511.0805211303996</v>
      </c>
      <c r="P58" s="329">
        <f t="shared" si="84"/>
        <v>574.2105980295518</v>
      </c>
      <c r="Q58" s="329">
        <f t="shared" si="84"/>
        <v>604.4322084521598</v>
      </c>
      <c r="R58" s="329">
        <f t="shared" si="84"/>
        <v>634.6538188747678</v>
      </c>
      <c r="S58" s="329">
        <f t="shared" si="83"/>
        <v>664.8754292973757</v>
      </c>
      <c r="T58" s="329">
        <f t="shared" si="83"/>
        <v>695.0970397199837</v>
      </c>
      <c r="U58" s="329">
        <f t="shared" si="83"/>
        <v>725.3186501425918</v>
      </c>
      <c r="V58" s="329">
        <f t="shared" si="83"/>
        <v>755.5402605651998</v>
      </c>
      <c r="W58" s="329">
        <f t="shared" si="83"/>
        <v>906.6483126782397</v>
      </c>
      <c r="X58" s="330">
        <f t="shared" si="67"/>
        <v>10.781674387040706</v>
      </c>
      <c r="Y58" s="331">
        <f t="shared" si="43"/>
        <v>273.8545294308339</v>
      </c>
      <c r="Z58" s="286">
        <f t="shared" si="66"/>
        <v>364.930512936044</v>
      </c>
      <c r="AA58" s="332">
        <f t="shared" si="52"/>
        <v>315.9743820234516</v>
      </c>
      <c r="AB58" s="333">
        <f t="shared" si="59"/>
        <v>212.08221407043402</v>
      </c>
      <c r="AC58" s="334">
        <f t="shared" si="15"/>
        <v>-61.06778592956596</v>
      </c>
      <c r="AD58" s="335">
        <f t="shared" si="9"/>
        <v>62.51679137857534</v>
      </c>
      <c r="AE58" s="336">
        <f t="shared" si="63"/>
        <v>180.13217139443745</v>
      </c>
      <c r="AF58" s="336">
        <f t="shared" si="63"/>
        <v>240.17622852591663</v>
      </c>
      <c r="AG58" s="336">
        <f t="shared" si="63"/>
        <v>300.2202856573958</v>
      </c>
      <c r="AH58" s="336">
        <f t="shared" si="63"/>
        <v>360.2643427888749</v>
      </c>
      <c r="AI58" s="336">
        <f t="shared" si="63"/>
        <v>420.3083999203541</v>
      </c>
      <c r="AJ58" s="336">
        <f t="shared" si="63"/>
        <v>480.35245705183326</v>
      </c>
      <c r="AK58" s="336">
        <f t="shared" si="63"/>
        <v>540.3965141833124</v>
      </c>
      <c r="AL58" s="336">
        <f t="shared" si="63"/>
        <v>600.4405713147916</v>
      </c>
      <c r="AM58" s="336">
        <f t="shared" si="63"/>
        <v>720.5286855777498</v>
      </c>
      <c r="AN58">
        <f t="shared" si="30"/>
        <v>308.89331613194275</v>
      </c>
      <c r="AO58">
        <f t="shared" si="16"/>
        <v>1112.015938074994</v>
      </c>
      <c r="AP58">
        <f t="shared" si="17"/>
        <v>600.4405713147916</v>
      </c>
      <c r="AQ58" s="176">
        <f t="shared" si="31"/>
        <v>60805.77089211471</v>
      </c>
      <c r="AR58">
        <f t="shared" si="32"/>
        <v>1013.4295148685785</v>
      </c>
      <c r="AS58" s="337">
        <f t="shared" si="33"/>
        <v>237.2313648293963</v>
      </c>
      <c r="AT58" s="337">
        <f t="shared" si="18"/>
        <v>-35.918635170603665</v>
      </c>
      <c r="AW58" s="361">
        <f t="shared" si="68"/>
        <v>262.4671916010499</v>
      </c>
      <c r="AX58" s="64">
        <f t="shared" si="69"/>
        <v>26246.719160104985</v>
      </c>
      <c r="AZ58" s="280">
        <f t="shared" si="70"/>
        <v>8</v>
      </c>
      <c r="BA58" s="280">
        <f t="shared" si="71"/>
        <v>236.14999999999998</v>
      </c>
      <c r="BB58" s="280">
        <f t="shared" si="72"/>
        <v>0</v>
      </c>
      <c r="BC58">
        <f t="shared" si="73"/>
        <v>0.8195384348429637</v>
      </c>
      <c r="BD58">
        <f t="shared" si="74"/>
        <v>355.66397757628437</v>
      </c>
      <c r="BE58">
        <f t="shared" si="75"/>
        <v>0.3510130546027973</v>
      </c>
      <c r="BF58">
        <f t="shared" si="76"/>
        <v>308.89331613194275</v>
      </c>
      <c r="BG58">
        <f t="shared" si="77"/>
        <v>0.9070686877354529</v>
      </c>
      <c r="BH58">
        <f t="shared" si="78"/>
        <v>0.5364790163792219</v>
      </c>
      <c r="BI58">
        <f t="shared" si="79"/>
        <v>0.4379502569499134</v>
      </c>
      <c r="BJ58">
        <f t="shared" si="80"/>
        <v>0.6617781025010675</v>
      </c>
      <c r="BL58" s="476"/>
      <c r="BM58" s="64">
        <f t="shared" si="81"/>
        <v>8</v>
      </c>
      <c r="BN58">
        <f t="shared" si="65"/>
        <v>-58.6</v>
      </c>
      <c r="BO58">
        <f t="shared" si="65"/>
        <v>-51.954976</v>
      </c>
      <c r="BP58">
        <f t="shared" si="65"/>
        <v>-42.930496</v>
      </c>
      <c r="BQ58">
        <f t="shared" si="65"/>
        <v>-37</v>
      </c>
      <c r="BR58">
        <f t="shared" si="65"/>
        <v>-29.639056603773582</v>
      </c>
      <c r="BS58">
        <f t="shared" si="65"/>
        <v>-23.976792452830196</v>
      </c>
      <c r="BT58">
        <f t="shared" si="65"/>
        <v>-6.9900000000000055</v>
      </c>
    </row>
    <row r="59" spans="1:72" ht="15.75" thickBot="1">
      <c r="A59" s="323">
        <f t="shared" si="48"/>
        <v>9.779126867080956</v>
      </c>
      <c r="B59" s="384">
        <v>9000</v>
      </c>
      <c r="C59" s="48">
        <f t="shared" si="82"/>
        <v>29527.55905511811</v>
      </c>
      <c r="D59" s="325">
        <f t="shared" si="5"/>
        <v>284.72560067708724</v>
      </c>
      <c r="E59" s="326">
        <f t="shared" si="6"/>
        <v>313.7910192014006</v>
      </c>
      <c r="F59" s="327">
        <f t="shared" si="58"/>
        <v>230.69874082923826</v>
      </c>
      <c r="G59" s="92">
        <f t="shared" si="40"/>
        <v>-42.451259170761716</v>
      </c>
      <c r="H59" s="92">
        <f t="shared" si="41"/>
        <v>-44.412266507371086</v>
      </c>
      <c r="I59">
        <f t="shared" si="42"/>
        <v>0.47383294295589834</v>
      </c>
      <c r="J59">
        <f t="shared" si="50"/>
        <v>386.80964731746866</v>
      </c>
      <c r="K59" s="329">
        <f t="shared" si="84"/>
        <v>321.57431046708945</v>
      </c>
      <c r="L59" s="329">
        <f t="shared" si="84"/>
        <v>482.3614657006342</v>
      </c>
      <c r="M59" s="329">
        <f t="shared" si="84"/>
        <v>514.5188967473431</v>
      </c>
      <c r="N59" s="329">
        <f t="shared" si="84"/>
        <v>546.6763277940521</v>
      </c>
      <c r="O59" s="329">
        <f t="shared" si="84"/>
        <v>1607.8715523354474</v>
      </c>
      <c r="P59" s="329">
        <f t="shared" si="84"/>
        <v>610.99118988747</v>
      </c>
      <c r="Q59" s="329">
        <f t="shared" si="84"/>
        <v>643.1486209341789</v>
      </c>
      <c r="R59" s="329">
        <f t="shared" si="84"/>
        <v>675.3060519808879</v>
      </c>
      <c r="S59" s="329">
        <f t="shared" si="83"/>
        <v>707.4634830275968</v>
      </c>
      <c r="T59" s="329">
        <f t="shared" si="83"/>
        <v>739.6209140743058</v>
      </c>
      <c r="U59" s="329">
        <f t="shared" si="83"/>
        <v>771.7783451210147</v>
      </c>
      <c r="V59" s="329">
        <f t="shared" si="83"/>
        <v>803.9357761677237</v>
      </c>
      <c r="W59" s="329">
        <f t="shared" si="83"/>
        <v>964.7229314012684</v>
      </c>
      <c r="X59" s="330">
        <f t="shared" si="67"/>
        <v>9.26627048342615</v>
      </c>
      <c r="Y59" s="331">
        <f t="shared" si="43"/>
        <v>235.36327027902416</v>
      </c>
      <c r="Z59" s="286">
        <f t="shared" si="66"/>
        <v>313.6114602020344</v>
      </c>
      <c r="AA59" s="332">
        <f t="shared" si="52"/>
        <v>266.36581968888385</v>
      </c>
      <c r="AB59" s="333">
        <f t="shared" si="59"/>
        <v>205.69874082923826</v>
      </c>
      <c r="AC59" s="334">
        <f t="shared" si="15"/>
        <v>-67.45125917076172</v>
      </c>
      <c r="AD59" s="335">
        <f t="shared" si="9"/>
        <v>70.80431172538265</v>
      </c>
      <c r="AE59" s="336">
        <f t="shared" si="63"/>
        <v>177.69058169867182</v>
      </c>
      <c r="AF59" s="336">
        <f t="shared" si="63"/>
        <v>236.9207755982291</v>
      </c>
      <c r="AG59" s="336">
        <f t="shared" si="63"/>
        <v>296.1509694977864</v>
      </c>
      <c r="AH59" s="336">
        <f t="shared" si="63"/>
        <v>355.38116339734364</v>
      </c>
      <c r="AI59" s="336">
        <f t="shared" si="63"/>
        <v>414.6113572969009</v>
      </c>
      <c r="AJ59" s="336">
        <f t="shared" si="63"/>
        <v>473.8415511964582</v>
      </c>
      <c r="AK59" s="336">
        <f t="shared" si="63"/>
        <v>533.0717450960155</v>
      </c>
      <c r="AL59" s="336">
        <f t="shared" si="63"/>
        <v>592.3019389955728</v>
      </c>
      <c r="AM59" s="336">
        <f t="shared" si="63"/>
        <v>710.7623267946873</v>
      </c>
      <c r="AN59">
        <f t="shared" si="30"/>
        <v>304.70644194994463</v>
      </c>
      <c r="AO59">
        <f t="shared" si="16"/>
        <v>1096.9431910198007</v>
      </c>
      <c r="AP59">
        <f t="shared" si="17"/>
        <v>592.3019389955728</v>
      </c>
      <c r="AQ59" s="176">
        <f t="shared" si="31"/>
        <v>59981.58306101272</v>
      </c>
      <c r="AR59">
        <f t="shared" si="32"/>
        <v>999.6930510168787</v>
      </c>
      <c r="AS59" s="337">
        <f t="shared" si="33"/>
        <v>230.86653543307085</v>
      </c>
      <c r="AT59" s="337">
        <f t="shared" si="18"/>
        <v>-42.283464566929126</v>
      </c>
      <c r="AW59" s="361">
        <f t="shared" si="68"/>
        <v>295.2755905511811</v>
      </c>
      <c r="AX59" s="64">
        <f t="shared" si="69"/>
        <v>29527.55905511811</v>
      </c>
      <c r="AZ59" s="280">
        <f t="shared" si="70"/>
        <v>9</v>
      </c>
      <c r="BA59" s="280">
        <f t="shared" si="71"/>
        <v>229.64999999999998</v>
      </c>
      <c r="BB59" s="280">
        <f t="shared" si="72"/>
        <v>0</v>
      </c>
      <c r="BC59">
        <f t="shared" si="73"/>
        <v>0.7969807391983342</v>
      </c>
      <c r="BD59">
        <f t="shared" si="74"/>
        <v>307.09498954006347</v>
      </c>
      <c r="BE59">
        <f t="shared" si="75"/>
        <v>0.3030791902689992</v>
      </c>
      <c r="BF59">
        <f t="shared" si="76"/>
        <v>304.70644194994463</v>
      </c>
      <c r="BG59">
        <f t="shared" si="77"/>
        <v>0.8947738847350659</v>
      </c>
      <c r="BH59">
        <f t="shared" si="78"/>
        <v>0.47383294295589834</v>
      </c>
      <c r="BI59">
        <f t="shared" si="79"/>
        <v>0.3868096473174687</v>
      </c>
      <c r="BJ59">
        <f t="shared" si="80"/>
        <v>0.6219402280906652</v>
      </c>
      <c r="BL59" s="476"/>
      <c r="BM59" s="64">
        <f t="shared" si="81"/>
        <v>9</v>
      </c>
      <c r="BN59">
        <f t="shared" si="65"/>
        <v>-63.32</v>
      </c>
      <c r="BO59">
        <f t="shared" si="65"/>
        <v>-57.102176</v>
      </c>
      <c r="BP59">
        <f t="shared" si="65"/>
        <v>-48.78969599999999</v>
      </c>
      <c r="BQ59">
        <f t="shared" si="65"/>
        <v>-43.5</v>
      </c>
      <c r="BR59">
        <f t="shared" si="65"/>
        <v>-36.13905660377358</v>
      </c>
      <c r="BS59">
        <f t="shared" si="65"/>
        <v>-30.476792452830196</v>
      </c>
      <c r="BT59">
        <f t="shared" si="65"/>
        <v>-13.490000000000006</v>
      </c>
    </row>
    <row r="60" spans="1:72" ht="15.75" thickBot="1">
      <c r="A60" s="323">
        <f t="shared" si="48"/>
        <v>9.776075895453916</v>
      </c>
      <c r="B60" s="384">
        <v>10000</v>
      </c>
      <c r="C60" s="48">
        <f t="shared" si="82"/>
        <v>32808.39895013123</v>
      </c>
      <c r="D60" s="325">
        <f t="shared" si="5"/>
        <v>239.28675019498505</v>
      </c>
      <c r="E60" s="326">
        <f t="shared" si="6"/>
        <v>267.8379601318829</v>
      </c>
      <c r="F60" s="327">
        <f t="shared" si="58"/>
        <v>224.31526758804253</v>
      </c>
      <c r="G60" s="92">
        <f t="shared" si="40"/>
        <v>-48.83473241195745</v>
      </c>
      <c r="H60" s="92">
        <f t="shared" si="41"/>
        <v>-55.902518341523404</v>
      </c>
      <c r="I60">
        <f t="shared" si="42"/>
        <v>0.41595204186447515</v>
      </c>
      <c r="J60">
        <f t="shared" si="50"/>
        <v>339.5590471419665</v>
      </c>
      <c r="K60" s="329">
        <f t="shared" si="84"/>
        <v>343.2198068391315</v>
      </c>
      <c r="L60" s="329">
        <f t="shared" si="84"/>
        <v>514.8297102586972</v>
      </c>
      <c r="M60" s="329">
        <f t="shared" si="84"/>
        <v>549.1516909426103</v>
      </c>
      <c r="N60" s="329">
        <f t="shared" si="84"/>
        <v>583.4736716265235</v>
      </c>
      <c r="O60" s="329">
        <f t="shared" si="84"/>
        <v>1716.0990341956574</v>
      </c>
      <c r="P60" s="329">
        <f t="shared" si="84"/>
        <v>652.1176329943498</v>
      </c>
      <c r="Q60" s="329">
        <f t="shared" si="84"/>
        <v>686.439613678263</v>
      </c>
      <c r="R60" s="329">
        <f t="shared" si="84"/>
        <v>720.7615943621761</v>
      </c>
      <c r="S60" s="329">
        <f t="shared" si="83"/>
        <v>755.0835750460892</v>
      </c>
      <c r="T60" s="329">
        <f t="shared" si="83"/>
        <v>789.4055557300024</v>
      </c>
      <c r="U60" s="329">
        <f t="shared" si="83"/>
        <v>823.7275364139156</v>
      </c>
      <c r="V60" s="329">
        <f t="shared" si="83"/>
        <v>858.0495170978287</v>
      </c>
      <c r="W60" s="329">
        <f t="shared" si="83"/>
        <v>1029.6594205173944</v>
      </c>
      <c r="X60" s="330">
        <f t="shared" si="67"/>
        <v>7.909273473241767</v>
      </c>
      <c r="Y60" s="331">
        <f t="shared" si="43"/>
        <v>200.8955462203409</v>
      </c>
      <c r="Z60" s="286">
        <f t="shared" si="66"/>
        <v>267.65976327426125</v>
      </c>
      <c r="AA60" s="332">
        <f t="shared" si="52"/>
        <v>222.60495885969226</v>
      </c>
      <c r="AB60" s="333">
        <f t="shared" si="59"/>
        <v>199.31526758804253</v>
      </c>
      <c r="AC60" s="334">
        <f t="shared" si="15"/>
        <v>-73.83473241195745</v>
      </c>
      <c r="AD60" s="335">
        <f t="shared" si="9"/>
        <v>80.68210348186844</v>
      </c>
      <c r="AE60" s="336">
        <f t="shared" si="63"/>
        <v>175.21497218431344</v>
      </c>
      <c r="AF60" s="336">
        <f t="shared" si="63"/>
        <v>233.61996291241795</v>
      </c>
      <c r="AG60" s="336">
        <f t="shared" si="63"/>
        <v>292.0249536405224</v>
      </c>
      <c r="AH60" s="336">
        <f t="shared" si="63"/>
        <v>350.4299443686269</v>
      </c>
      <c r="AI60" s="336">
        <f t="shared" si="63"/>
        <v>408.8349350967314</v>
      </c>
      <c r="AJ60" s="336">
        <f t="shared" si="63"/>
        <v>467.2399258248359</v>
      </c>
      <c r="AK60" s="336">
        <f t="shared" si="63"/>
        <v>525.6449165529403</v>
      </c>
      <c r="AL60" s="336">
        <f t="shared" si="63"/>
        <v>584.0499072810449</v>
      </c>
      <c r="AM60" s="336">
        <f t="shared" si="63"/>
        <v>700.8598887372538</v>
      </c>
      <c r="AN60">
        <f t="shared" si="30"/>
        <v>300.4612300790264</v>
      </c>
      <c r="AO60">
        <f t="shared" si="16"/>
        <v>1081.660428284495</v>
      </c>
      <c r="AP60">
        <f t="shared" si="17"/>
        <v>584.0499072810449</v>
      </c>
      <c r="AQ60" s="176">
        <f t="shared" si="31"/>
        <v>59145.911432879206</v>
      </c>
      <c r="AR60">
        <f t="shared" si="32"/>
        <v>985.7651905479868</v>
      </c>
      <c r="AS60" s="337">
        <f t="shared" si="33"/>
        <v>224.5017060367454</v>
      </c>
      <c r="AT60" s="337">
        <f t="shared" si="18"/>
        <v>-48.64829396325459</v>
      </c>
      <c r="AW60" s="361">
        <f t="shared" si="68"/>
        <v>328.0839895013123</v>
      </c>
      <c r="AX60" s="64">
        <f t="shared" si="69"/>
        <v>32808.39895013123</v>
      </c>
      <c r="AZ60" s="280">
        <f t="shared" si="70"/>
        <v>10</v>
      </c>
      <c r="BA60" s="280">
        <f t="shared" si="71"/>
        <v>223.14999999999998</v>
      </c>
      <c r="BB60" s="280">
        <f t="shared" si="72"/>
        <v>0</v>
      </c>
      <c r="BC60">
        <f t="shared" si="73"/>
        <v>0.7744230435537046</v>
      </c>
      <c r="BD60">
        <f t="shared" si="74"/>
        <v>264.0427963050418</v>
      </c>
      <c r="BE60">
        <f t="shared" si="75"/>
        <v>0.2605899790822026</v>
      </c>
      <c r="BF60">
        <f t="shared" si="76"/>
        <v>300.4612300790264</v>
      </c>
      <c r="BG60">
        <f t="shared" si="77"/>
        <v>0.8823077724567803</v>
      </c>
      <c r="BH60">
        <f t="shared" si="78"/>
        <v>0.41595204186447515</v>
      </c>
      <c r="BI60">
        <f t="shared" si="79"/>
        <v>0.3395590471419665</v>
      </c>
      <c r="BJ60">
        <f t="shared" si="80"/>
        <v>0.5827169528527263</v>
      </c>
      <c r="BL60" s="476"/>
      <c r="BM60" s="64">
        <f t="shared" si="81"/>
        <v>10</v>
      </c>
      <c r="BN60">
        <f t="shared" si="65"/>
        <v>-68.04</v>
      </c>
      <c r="BO60">
        <f t="shared" si="65"/>
        <v>-62.249376</v>
      </c>
      <c r="BP60">
        <f t="shared" si="65"/>
        <v>-54.64889599999999</v>
      </c>
      <c r="BQ60">
        <f t="shared" si="65"/>
        <v>-50</v>
      </c>
      <c r="BR60">
        <f t="shared" si="65"/>
        <v>-42.63905660377358</v>
      </c>
      <c r="BS60">
        <f t="shared" si="65"/>
        <v>-36.976792452830196</v>
      </c>
      <c r="BT60">
        <f t="shared" si="65"/>
        <v>-19.990000000000006</v>
      </c>
    </row>
    <row r="61" spans="1:86" s="333" customFormat="1" ht="15.75" thickBot="1">
      <c r="A61" s="323">
        <f t="shared" si="48"/>
        <v>9.76997823404261</v>
      </c>
      <c r="B61" s="484">
        <v>12000</v>
      </c>
      <c r="C61" s="485">
        <f t="shared" si="82"/>
        <v>39370.07874015748</v>
      </c>
      <c r="D61" s="325">
        <f t="shared" si="5"/>
        <v>164.3377535300558</v>
      </c>
      <c r="E61" s="326">
        <f t="shared" si="6"/>
        <v>190.63134760163638</v>
      </c>
      <c r="F61" s="486">
        <f t="shared" si="58"/>
        <v>217.9317943468468</v>
      </c>
      <c r="G61" s="487">
        <f t="shared" si="40"/>
        <v>-55.21820565315318</v>
      </c>
      <c r="H61" s="487">
        <f t="shared" si="41"/>
        <v>-67.39277017567572</v>
      </c>
      <c r="I61" s="333">
        <f t="shared" si="42"/>
        <v>0.304721915154733</v>
      </c>
      <c r="J61" s="333">
        <f t="shared" si="50"/>
        <v>248.75724299708835</v>
      </c>
      <c r="K61" s="494">
        <f t="shared" si="84"/>
        <v>400.9979276923005</v>
      </c>
      <c r="L61" s="494">
        <f t="shared" si="84"/>
        <v>601.4968915384508</v>
      </c>
      <c r="M61" s="494">
        <f t="shared" si="84"/>
        <v>641.5966843076808</v>
      </c>
      <c r="N61" s="494">
        <f t="shared" si="84"/>
        <v>681.6964770769108</v>
      </c>
      <c r="O61" s="494">
        <f t="shared" si="84"/>
        <v>2004.9896384615024</v>
      </c>
      <c r="P61" s="494">
        <f t="shared" si="84"/>
        <v>761.896062615371</v>
      </c>
      <c r="Q61" s="494">
        <f t="shared" si="84"/>
        <v>801.995855384601</v>
      </c>
      <c r="R61" s="494">
        <f t="shared" si="84"/>
        <v>842.095648153831</v>
      </c>
      <c r="S61" s="494">
        <f t="shared" si="83"/>
        <v>882.195440923061</v>
      </c>
      <c r="T61" s="494">
        <f t="shared" si="83"/>
        <v>922.2952336922912</v>
      </c>
      <c r="U61" s="494">
        <f t="shared" si="83"/>
        <v>962.3950264615212</v>
      </c>
      <c r="V61" s="494">
        <f t="shared" si="83"/>
        <v>1002.4948192307512</v>
      </c>
      <c r="W61" s="494">
        <f t="shared" si="83"/>
        <v>1202.9937830769015</v>
      </c>
      <c r="X61" s="330">
        <f t="shared" si="67"/>
        <v>5.629356869397965</v>
      </c>
      <c r="Y61" s="331">
        <f t="shared" si="43"/>
        <v>142.9856644827083</v>
      </c>
      <c r="Z61" s="488">
        <f t="shared" si="66"/>
        <v>190.46357759162413</v>
      </c>
      <c r="AA61" s="332">
        <f t="shared" si="52"/>
        <v>150.88304070363674</v>
      </c>
      <c r="AB61" s="333">
        <f t="shared" si="59"/>
        <v>192.9317943468468</v>
      </c>
      <c r="AC61" s="334">
        <f t="shared" si="15"/>
        <v>-80.21820565315318</v>
      </c>
      <c r="AD61" s="335">
        <f t="shared" si="9"/>
        <v>110.20156243643636</v>
      </c>
      <c r="AE61" s="495">
        <f t="shared" si="63"/>
        <v>172.703879894712</v>
      </c>
      <c r="AF61" s="495">
        <f t="shared" si="63"/>
        <v>230.27183985961602</v>
      </c>
      <c r="AG61" s="495">
        <f t="shared" si="63"/>
        <v>287.83979982452</v>
      </c>
      <c r="AH61" s="495">
        <f t="shared" si="63"/>
        <v>345.407759789424</v>
      </c>
      <c r="AI61" s="495">
        <f t="shared" si="63"/>
        <v>402.975719754328</v>
      </c>
      <c r="AJ61" s="495">
        <f t="shared" si="63"/>
        <v>460.54367971923205</v>
      </c>
      <c r="AK61" s="495">
        <f t="shared" si="63"/>
        <v>518.1116396841361</v>
      </c>
      <c r="AL61" s="495">
        <f t="shared" si="63"/>
        <v>575.67959964904</v>
      </c>
      <c r="AM61" s="495">
        <f t="shared" si="63"/>
        <v>690.815519578848</v>
      </c>
      <c r="AN61" s="333">
        <f t="shared" si="30"/>
        <v>296.1551718194506</v>
      </c>
      <c r="AO61" s="333">
        <f t="shared" si="16"/>
        <v>1066.158618550022</v>
      </c>
      <c r="AP61" s="333">
        <f t="shared" si="17"/>
        <v>575.67959964904</v>
      </c>
      <c r="AQ61" s="176">
        <f t="shared" si="31"/>
        <v>58298.26216918318</v>
      </c>
      <c r="AR61" s="333">
        <f t="shared" si="32"/>
        <v>971.6377028197197</v>
      </c>
      <c r="AS61" s="337">
        <f t="shared" si="33"/>
        <v>211.7720472440945</v>
      </c>
      <c r="AT61" s="337">
        <f t="shared" si="18"/>
        <v>-61.37795275590548</v>
      </c>
      <c r="AW61" s="361">
        <f t="shared" si="68"/>
        <v>393.70078740157476</v>
      </c>
      <c r="AX61" s="64">
        <f t="shared" si="69"/>
        <v>39370.07874015748</v>
      </c>
      <c r="AY61" s="251"/>
      <c r="AZ61" s="280">
        <f t="shared" si="70"/>
        <v>12</v>
      </c>
      <c r="BA61" s="280">
        <f t="shared" si="71"/>
        <v>216.64999999999998</v>
      </c>
      <c r="BB61" s="280">
        <f t="shared" si="72"/>
        <v>0</v>
      </c>
      <c r="BC61">
        <f t="shared" si="73"/>
        <v>0.7518653479090751</v>
      </c>
      <c r="BD61">
        <f t="shared" si="74"/>
        <v>193.3012643367207</v>
      </c>
      <c r="BE61">
        <f t="shared" si="75"/>
        <v>0.1907735152595319</v>
      </c>
      <c r="BF61">
        <f t="shared" si="76"/>
        <v>296.1551718194506</v>
      </c>
      <c r="BG61">
        <f t="shared" si="77"/>
        <v>0.8696629840756764</v>
      </c>
      <c r="BH61">
        <f t="shared" si="78"/>
        <v>0.304721915154733</v>
      </c>
      <c r="BI61">
        <f t="shared" si="79"/>
        <v>0.24875724299708832</v>
      </c>
      <c r="BJ61">
        <f t="shared" si="80"/>
        <v>0.49875569470141223</v>
      </c>
      <c r="BK61" s="251"/>
      <c r="BL61" s="476"/>
      <c r="BM61" s="64">
        <f t="shared" si="81"/>
        <v>12</v>
      </c>
      <c r="BN61">
        <f t="shared" si="65"/>
        <v>-77.48</v>
      </c>
      <c r="BO61">
        <f t="shared" si="65"/>
        <v>-72.54377600000001</v>
      </c>
      <c r="BP61">
        <f t="shared" si="65"/>
        <v>-66.367296</v>
      </c>
      <c r="BQ61">
        <f t="shared" si="65"/>
        <v>-56.5</v>
      </c>
      <c r="BR61">
        <f t="shared" si="65"/>
        <v>-50</v>
      </c>
      <c r="BS61">
        <f t="shared" si="65"/>
        <v>-45</v>
      </c>
      <c r="BT61">
        <f t="shared" si="65"/>
        <v>-30</v>
      </c>
      <c r="BU61" s="489"/>
      <c r="BV61" s="490"/>
      <c r="BW61" s="487"/>
      <c r="BX61" s="491"/>
      <c r="BZ61" s="487"/>
      <c r="CA61" s="487"/>
      <c r="CB61" s="492"/>
      <c r="CD61" s="487"/>
      <c r="CE61" s="493"/>
      <c r="CF61" s="487"/>
      <c r="CG61" s="491"/>
      <c r="CH61" s="487"/>
    </row>
    <row r="62" spans="1:86" s="497" customFormat="1" ht="16.5" thickBot="1" thickTop="1">
      <c r="A62" s="496">
        <f t="shared" si="48"/>
        <v>9.773026351404631</v>
      </c>
      <c r="B62" s="497">
        <v>11000</v>
      </c>
      <c r="C62" s="497">
        <f t="shared" si="82"/>
        <v>36089.238845144355</v>
      </c>
      <c r="D62" s="498">
        <f t="shared" si="5"/>
        <v>199.2962216088038</v>
      </c>
      <c r="E62" s="499">
        <f t="shared" si="6"/>
        <v>226.8988800498378</v>
      </c>
      <c r="F62" s="500">
        <f>IF(B62&gt;B$62,$F$62,$E$3+$B62*($AA$6))</f>
        <v>217.9317943468468</v>
      </c>
      <c r="G62" s="501">
        <f t="shared" si="40"/>
        <v>-55.21820565315318</v>
      </c>
      <c r="H62" s="501">
        <f t="shared" si="41"/>
        <v>-67.39277017567572</v>
      </c>
      <c r="I62" s="502">
        <f t="shared" si="42"/>
        <v>0.36269512934323456</v>
      </c>
      <c r="J62" s="503">
        <f t="shared" si="50"/>
        <v>296.0832022143256</v>
      </c>
      <c r="K62" s="504">
        <f t="shared" si="84"/>
        <v>367.5556568310007</v>
      </c>
      <c r="L62" s="504">
        <f t="shared" si="84"/>
        <v>551.333485246501</v>
      </c>
      <c r="M62" s="504">
        <f t="shared" si="84"/>
        <v>588.0890509296012</v>
      </c>
      <c r="N62" s="504">
        <f t="shared" si="84"/>
        <v>624.8446166127012</v>
      </c>
      <c r="O62" s="504">
        <f t="shared" si="84"/>
        <v>1837.7782841550036</v>
      </c>
      <c r="P62" s="504">
        <f t="shared" si="84"/>
        <v>698.3557479789014</v>
      </c>
      <c r="Q62" s="504">
        <f t="shared" si="84"/>
        <v>735.1113136620014</v>
      </c>
      <c r="R62" s="504">
        <f t="shared" si="84"/>
        <v>771.8668793451016</v>
      </c>
      <c r="S62" s="504">
        <f t="shared" si="83"/>
        <v>808.6224450282016</v>
      </c>
      <c r="T62" s="504">
        <f t="shared" si="83"/>
        <v>845.3780107113016</v>
      </c>
      <c r="U62" s="504">
        <f t="shared" si="83"/>
        <v>882.1335763944018</v>
      </c>
      <c r="V62" s="504">
        <f t="shared" si="83"/>
        <v>918.8891420775018</v>
      </c>
      <c r="W62" s="504">
        <f t="shared" si="83"/>
        <v>1102.666970493002</v>
      </c>
      <c r="X62" s="435">
        <f>Y62/25.4</f>
        <v>6.700339609078518</v>
      </c>
      <c r="Y62" s="505">
        <f t="shared" si="43"/>
        <v>170.18862607059435</v>
      </c>
      <c r="Z62" s="506">
        <f t="shared" si="66"/>
        <v>226.72474214392892</v>
      </c>
      <c r="AA62" s="507">
        <f t="shared" si="52"/>
        <v>184.2528538301714</v>
      </c>
      <c r="AB62" s="497">
        <f t="shared" si="59"/>
        <v>192.9317943468468</v>
      </c>
      <c r="AC62" s="508">
        <f t="shared" si="15"/>
        <v>-80.21820565315318</v>
      </c>
      <c r="AD62" s="509">
        <f t="shared" si="9"/>
        <v>92.55806017012034</v>
      </c>
      <c r="AE62" s="510">
        <f t="shared" si="63"/>
        <v>172.703879894712</v>
      </c>
      <c r="AF62" s="510">
        <f t="shared" si="63"/>
        <v>230.27183985961602</v>
      </c>
      <c r="AG62" s="510">
        <f t="shared" si="63"/>
        <v>287.83979982452</v>
      </c>
      <c r="AH62" s="510">
        <f aca="true" t="shared" si="85" ref="AH62:AM63">AH$10*$AP62</f>
        <v>345.407759789424</v>
      </c>
      <c r="AI62" s="510">
        <f t="shared" si="85"/>
        <v>402.975719754328</v>
      </c>
      <c r="AJ62" s="510">
        <f t="shared" si="85"/>
        <v>460.54367971923205</v>
      </c>
      <c r="AK62" s="510">
        <f t="shared" si="85"/>
        <v>518.1116396841361</v>
      </c>
      <c r="AL62" s="510">
        <f t="shared" si="85"/>
        <v>575.67959964904</v>
      </c>
      <c r="AM62" s="510">
        <f t="shared" si="85"/>
        <v>690.815519578848</v>
      </c>
      <c r="AN62" s="503">
        <f t="shared" si="30"/>
        <v>296.1551718194506</v>
      </c>
      <c r="AO62" s="497">
        <f t="shared" si="16"/>
        <v>1066.158618550022</v>
      </c>
      <c r="AP62" s="497">
        <f t="shared" si="17"/>
        <v>575.67959964904</v>
      </c>
      <c r="AQ62" s="511">
        <f t="shared" si="31"/>
        <v>58298.26216918318</v>
      </c>
      <c r="AR62" s="503">
        <f t="shared" si="32"/>
        <v>971.6377028197197</v>
      </c>
      <c r="AS62" s="512">
        <f t="shared" si="33"/>
        <v>218.13687664041993</v>
      </c>
      <c r="AT62" s="512">
        <f t="shared" si="18"/>
        <v>-55.01312335958005</v>
      </c>
      <c r="AW62" s="361">
        <f t="shared" si="68"/>
        <v>360.89238845144354</v>
      </c>
      <c r="AX62" s="64">
        <f t="shared" si="69"/>
        <v>36089.238845144355</v>
      </c>
      <c r="AY62" s="251"/>
      <c r="AZ62" s="280">
        <f t="shared" si="70"/>
        <v>11</v>
      </c>
      <c r="BA62" s="280">
        <f t="shared" si="71"/>
        <v>216.64999999999998</v>
      </c>
      <c r="BB62" s="280">
        <f t="shared" si="72"/>
        <v>0</v>
      </c>
      <c r="BC62">
        <f t="shared" si="73"/>
        <v>0.7518653479090751</v>
      </c>
      <c r="BD62">
        <f t="shared" si="74"/>
        <v>226.01453108171395</v>
      </c>
      <c r="BE62">
        <f t="shared" si="75"/>
        <v>0.22305899934045295</v>
      </c>
      <c r="BF62">
        <f t="shared" si="76"/>
        <v>296.1551718194506</v>
      </c>
      <c r="BG62">
        <f t="shared" si="77"/>
        <v>0.8696629840756764</v>
      </c>
      <c r="BH62">
        <f t="shared" si="78"/>
        <v>0.36269512934323456</v>
      </c>
      <c r="BI62">
        <f t="shared" si="79"/>
        <v>0.2960832022143256</v>
      </c>
      <c r="BJ62">
        <f t="shared" si="80"/>
        <v>0.5441352793325623</v>
      </c>
      <c r="BK62" s="251"/>
      <c r="BL62" s="476"/>
      <c r="BM62" s="64">
        <f t="shared" si="81"/>
        <v>11</v>
      </c>
      <c r="BN62">
        <f t="shared" si="65"/>
        <v>-72.76</v>
      </c>
      <c r="BO62">
        <f t="shared" si="65"/>
        <v>-67.396576</v>
      </c>
      <c r="BP62">
        <f t="shared" si="65"/>
        <v>-60.508095999999995</v>
      </c>
      <c r="BQ62">
        <f t="shared" si="65"/>
        <v>-56.5</v>
      </c>
      <c r="BR62">
        <f t="shared" si="65"/>
        <v>-49.13905660377358</v>
      </c>
      <c r="BS62">
        <f t="shared" si="65"/>
        <v>-43.476792452830196</v>
      </c>
      <c r="BT62">
        <f t="shared" si="65"/>
        <v>-26.490000000000006</v>
      </c>
      <c r="BU62" s="513"/>
      <c r="BV62" s="514"/>
      <c r="BW62" s="501"/>
      <c r="BX62" s="501"/>
      <c r="BZ62" s="501"/>
      <c r="CA62" s="501"/>
      <c r="CB62" s="515"/>
      <c r="CD62" s="501"/>
      <c r="CE62" s="516"/>
      <c r="CF62" s="501"/>
      <c r="CG62" s="501"/>
      <c r="CH62" s="501"/>
    </row>
    <row r="63" spans="1:72" ht="16.5" thickBot="1" thickTop="1">
      <c r="A63" s="323">
        <f t="shared" si="48"/>
        <v>9.809715296535163</v>
      </c>
      <c r="B63" s="384">
        <v>-1000</v>
      </c>
      <c r="C63" s="48">
        <f t="shared" si="82"/>
        <v>-3280.839895013123</v>
      </c>
      <c r="D63" s="325">
        <f t="shared" si="5"/>
        <v>1138.5852756724353</v>
      </c>
      <c r="E63" s="517">
        <f t="shared" si="6"/>
        <v>1129.8218217569472</v>
      </c>
      <c r="F63" s="327">
        <f>IF(B63&gt;B$62,$F$62,$E$3+$B63*($AA$6))</f>
        <v>294.53347324119574</v>
      </c>
      <c r="G63" s="92">
        <f t="shared" si="40"/>
        <v>21.38347324119576</v>
      </c>
      <c r="H63" s="92">
        <f t="shared" si="41"/>
        <v>70.49025183415236</v>
      </c>
      <c r="I63">
        <f t="shared" si="42"/>
        <v>1.3363039915527488</v>
      </c>
      <c r="J63">
        <f t="shared" si="50"/>
        <v>1090.8808333521758</v>
      </c>
      <c r="K63" s="329">
        <f t="shared" si="84"/>
        <v>191.4879015999552</v>
      </c>
      <c r="L63" s="329">
        <f t="shared" si="84"/>
        <v>287.2318523999328</v>
      </c>
      <c r="M63" s="329">
        <f t="shared" si="84"/>
        <v>306.3806425599283</v>
      </c>
      <c r="N63" s="329">
        <f t="shared" si="84"/>
        <v>325.5294327199238</v>
      </c>
      <c r="O63" s="329">
        <f t="shared" si="84"/>
        <v>957.439507999776</v>
      </c>
      <c r="P63" s="329">
        <f t="shared" si="84"/>
        <v>363.82701303991485</v>
      </c>
      <c r="Q63" s="329">
        <f t="shared" si="84"/>
        <v>382.9758031999104</v>
      </c>
      <c r="R63" s="329">
        <f t="shared" si="84"/>
        <v>402.1245933599059</v>
      </c>
      <c r="S63" s="329">
        <f t="shared" si="83"/>
        <v>421.2733835199014</v>
      </c>
      <c r="T63" s="329">
        <f t="shared" si="83"/>
        <v>440.4221736798969</v>
      </c>
      <c r="U63" s="329">
        <f t="shared" si="83"/>
        <v>459.57096383989244</v>
      </c>
      <c r="V63" s="329">
        <f t="shared" si="83"/>
        <v>478.719753999888</v>
      </c>
      <c r="W63" s="329">
        <f t="shared" si="83"/>
        <v>574.4637047998656</v>
      </c>
      <c r="X63" s="330">
        <f>Y63/25.4</f>
        <v>33.36371647959015</v>
      </c>
      <c r="Y63" s="518">
        <f t="shared" si="43"/>
        <v>847.4383985815898</v>
      </c>
      <c r="Z63" s="286">
        <f t="shared" si="66"/>
        <v>1129.8715840027558</v>
      </c>
      <c r="AA63" s="519">
        <f t="shared" si="52"/>
        <v>1103.9577347349336</v>
      </c>
      <c r="AB63" s="520">
        <f t="shared" si="59"/>
        <v>269.53347324119574</v>
      </c>
      <c r="AC63" s="521">
        <f t="shared" si="15"/>
        <v>-3.616526758804241</v>
      </c>
      <c r="AD63" s="522">
        <f t="shared" si="9"/>
        <v>25.027839916582227</v>
      </c>
      <c r="AE63" s="336">
        <f>AE$10*$AP63</f>
        <v>200.77476508027263</v>
      </c>
      <c r="AF63" s="336">
        <f>AF$10*$AP63</f>
        <v>267.69968677369684</v>
      </c>
      <c r="AG63" s="336">
        <f>AG$10*$AP63</f>
        <v>334.62460846712105</v>
      </c>
      <c r="AH63" s="336">
        <f t="shared" si="85"/>
        <v>401.54953016054526</v>
      </c>
      <c r="AI63" s="336">
        <f t="shared" si="85"/>
        <v>468.4744518539694</v>
      </c>
      <c r="AJ63" s="336">
        <f t="shared" si="85"/>
        <v>535.3993735473937</v>
      </c>
      <c r="AK63" s="336">
        <f t="shared" si="85"/>
        <v>602.324295240818</v>
      </c>
      <c r="AL63" s="336">
        <f t="shared" si="85"/>
        <v>669.2492169342421</v>
      </c>
      <c r="AM63" s="336">
        <f t="shared" si="85"/>
        <v>803.0990603210905</v>
      </c>
      <c r="AN63">
        <f t="shared" si="30"/>
        <v>344.29154160061563</v>
      </c>
      <c r="AO63">
        <f t="shared" si="16"/>
        <v>1239.4495497622163</v>
      </c>
      <c r="AP63">
        <f t="shared" si="17"/>
        <v>669.2492169342421</v>
      </c>
      <c r="AQ63" s="176">
        <f t="shared" si="31"/>
        <v>67773.9255119322</v>
      </c>
      <c r="AR63">
        <f t="shared" si="32"/>
        <v>1129.5654251988701</v>
      </c>
      <c r="AS63" s="523">
        <f t="shared" si="33"/>
        <v>294.5148293963254</v>
      </c>
      <c r="AT63" s="523">
        <f t="shared" si="18"/>
        <v>21.364829396325433</v>
      </c>
      <c r="AW63" s="361">
        <f t="shared" si="68"/>
        <v>-32.808398950131235</v>
      </c>
      <c r="AX63" s="64">
        <f t="shared" si="69"/>
        <v>-3280.839895013123</v>
      </c>
      <c r="AZ63" s="280">
        <f t="shared" si="70"/>
        <v>-1</v>
      </c>
      <c r="BA63" s="280">
        <f t="shared" si="71"/>
        <v>294.65</v>
      </c>
      <c r="BB63" s="280">
        <f t="shared" si="72"/>
        <v>0</v>
      </c>
      <c r="BC63">
        <f t="shared" si="73"/>
        <v>1.0225576956446296</v>
      </c>
      <c r="BD63">
        <f t="shared" si="74"/>
        <v>1139.4091467530327</v>
      </c>
      <c r="BE63">
        <f t="shared" si="75"/>
        <v>1.1245093972396079</v>
      </c>
      <c r="BF63">
        <f t="shared" si="76"/>
        <v>344.29154160061563</v>
      </c>
      <c r="BG63">
        <f t="shared" si="77"/>
        <v>1.0110159738927154</v>
      </c>
      <c r="BH63">
        <f t="shared" si="78"/>
        <v>1.3363039915527488</v>
      </c>
      <c r="BI63">
        <f t="shared" si="79"/>
        <v>1.090880833352176</v>
      </c>
      <c r="BJ63">
        <f t="shared" si="80"/>
        <v>1.0444524083710929</v>
      </c>
      <c r="BL63" s="476"/>
      <c r="BM63" s="64">
        <f t="shared" si="81"/>
        <v>-1</v>
      </c>
      <c r="BN63">
        <f aca="true" t="shared" si="86" ref="BN63:BT63">IF($BM63&gt;BN$8,IF($BM63&gt;BN$5,BN$4,BN$4+BN$6*(BN$5-$BM63)),IF($BM63&gt;BN$1,BN$4+BN$6*(BN$5-BN$8),BN$4+BN$6*(BN$5-BN$8)+BN$2*($BM63-BN$1)))</f>
        <v>-60</v>
      </c>
      <c r="BO63">
        <f t="shared" si="86"/>
        <v>-34.86</v>
      </c>
      <c r="BP63">
        <f t="shared" si="86"/>
        <v>3.239999999999995</v>
      </c>
      <c r="BQ63">
        <f t="shared" si="86"/>
        <v>21.5</v>
      </c>
      <c r="BR63">
        <f t="shared" si="86"/>
        <v>28.860943396226418</v>
      </c>
      <c r="BS63">
        <f t="shared" si="86"/>
        <v>34.523207547169804</v>
      </c>
      <c r="BT63">
        <f t="shared" si="86"/>
        <v>51.50999999999999</v>
      </c>
    </row>
    <row r="64" ht="13.5" thickTop="1">
      <c r="BB64" s="280"/>
    </row>
    <row r="65" spans="1:54" ht="45.75" thickBot="1">
      <c r="A65" s="524" t="s">
        <v>444</v>
      </c>
      <c r="BB65" s="525"/>
    </row>
    <row r="66" spans="1:54" ht="12.75">
      <c r="A66" t="s">
        <v>445</v>
      </c>
      <c r="Z66" s="819" t="s">
        <v>446</v>
      </c>
      <c r="AA66" s="526" t="s">
        <v>447</v>
      </c>
      <c r="AB66" s="526" t="s">
        <v>447</v>
      </c>
      <c r="AC66" s="527"/>
      <c r="AD66" s="528"/>
      <c r="AE66" s="529"/>
      <c r="AF66" s="530"/>
      <c r="BB66" s="530"/>
    </row>
    <row r="67" spans="26:54" ht="12.75">
      <c r="Z67" s="820"/>
      <c r="AA67" s="531"/>
      <c r="AB67" s="531"/>
      <c r="AC67" s="532"/>
      <c r="AD67" s="528"/>
      <c r="AE67" s="533"/>
      <c r="AF67" s="525"/>
      <c r="BB67" s="280"/>
    </row>
    <row r="68" spans="26:54" ht="38.25">
      <c r="Z68" s="820"/>
      <c r="AA68" s="821" t="s">
        <v>448</v>
      </c>
      <c r="AB68" s="534" t="s">
        <v>449</v>
      </c>
      <c r="AC68" s="823" t="s">
        <v>450</v>
      </c>
      <c r="AD68" s="535"/>
      <c r="AE68" s="536" t="s">
        <v>439</v>
      </c>
      <c r="AF68" s="536" t="s">
        <v>451</v>
      </c>
      <c r="BB68" s="280"/>
    </row>
    <row r="69" spans="26:54" ht="13.5" thickBot="1">
      <c r="Z69" s="537"/>
      <c r="AA69" s="822"/>
      <c r="AB69" s="538"/>
      <c r="AC69" s="823"/>
      <c r="AD69" s="539"/>
      <c r="AE69" s="540"/>
      <c r="AF69" s="541" t="s">
        <v>452</v>
      </c>
      <c r="BB69" s="280"/>
    </row>
    <row r="70" spans="26:54" ht="26.25" thickBot="1">
      <c r="Z70" s="542">
        <v>0</v>
      </c>
      <c r="AA70" s="543">
        <v>1013</v>
      </c>
      <c r="AB70" s="544" t="s">
        <v>453</v>
      </c>
      <c r="AC70" s="545">
        <v>0</v>
      </c>
      <c r="AD70" s="546"/>
      <c r="AE70" s="547" t="s">
        <v>454</v>
      </c>
      <c r="AF70" s="280">
        <v>288</v>
      </c>
      <c r="BB70" s="280"/>
    </row>
    <row r="71" spans="1:54" ht="26.25" thickBot="1">
      <c r="A71" s="120" t="s">
        <v>313</v>
      </c>
      <c r="Z71" s="542">
        <v>0.5</v>
      </c>
      <c r="AA71" s="548">
        <v>955</v>
      </c>
      <c r="AB71" s="544" t="s">
        <v>455</v>
      </c>
      <c r="AC71" s="549">
        <v>1640</v>
      </c>
      <c r="AD71" s="550"/>
      <c r="AE71" s="547" t="s">
        <v>456</v>
      </c>
      <c r="AF71" s="280"/>
      <c r="BB71" s="280"/>
    </row>
    <row r="72" spans="1:54" ht="16.5" thickBot="1">
      <c r="A72" s="120" t="s">
        <v>314</v>
      </c>
      <c r="Z72" s="542">
        <v>1</v>
      </c>
      <c r="AA72" s="548">
        <v>900</v>
      </c>
      <c r="AB72" s="544" t="s">
        <v>457</v>
      </c>
      <c r="AC72" s="549">
        <v>3281</v>
      </c>
      <c r="AD72" s="550"/>
      <c r="AE72" s="547"/>
      <c r="AF72" s="280"/>
      <c r="BB72" s="280"/>
    </row>
    <row r="73" spans="1:54" ht="26.25" thickBot="1">
      <c r="A73" s="121" t="s">
        <v>315</v>
      </c>
      <c r="Z73" s="542">
        <v>1.5</v>
      </c>
      <c r="AA73" s="548">
        <v>845</v>
      </c>
      <c r="AB73" s="544" t="s">
        <v>458</v>
      </c>
      <c r="AC73" s="549">
        <v>4921</v>
      </c>
      <c r="AD73" s="550"/>
      <c r="AE73" s="547" t="s">
        <v>459</v>
      </c>
      <c r="AF73" s="280"/>
      <c r="BB73" s="280"/>
    </row>
    <row r="74" spans="1:54" ht="15.75" thickBot="1">
      <c r="A74" s="121" t="s">
        <v>316</v>
      </c>
      <c r="Z74" s="542">
        <v>2</v>
      </c>
      <c r="AA74" s="548">
        <v>794</v>
      </c>
      <c r="AB74" s="544" t="s">
        <v>460</v>
      </c>
      <c r="AC74" s="549">
        <v>6562</v>
      </c>
      <c r="AD74" s="550"/>
      <c r="AE74" s="547"/>
      <c r="AF74" s="280"/>
      <c r="BB74" s="280"/>
    </row>
    <row r="75" spans="26:32" ht="13.5" thickBot="1">
      <c r="Z75" s="542">
        <v>2.5</v>
      </c>
      <c r="AA75" s="548">
        <v>746</v>
      </c>
      <c r="AB75" s="544" t="s">
        <v>461</v>
      </c>
      <c r="AC75" s="549">
        <v>8202</v>
      </c>
      <c r="AD75" s="550"/>
      <c r="AE75" s="547"/>
      <c r="AF75" s="280">
        <v>272</v>
      </c>
    </row>
    <row r="76" spans="1:32" ht="26.25" thickBot="1">
      <c r="A76" s="120" t="s">
        <v>317</v>
      </c>
      <c r="Z76" s="542">
        <v>3</v>
      </c>
      <c r="AA76" s="548">
        <v>700</v>
      </c>
      <c r="AB76" s="544" t="s">
        <v>462</v>
      </c>
      <c r="AC76" s="549">
        <v>9843</v>
      </c>
      <c r="AD76" s="550"/>
      <c r="AE76" s="547" t="s">
        <v>463</v>
      </c>
      <c r="AF76" s="280"/>
    </row>
    <row r="77" spans="1:32" ht="15.75" thickBot="1">
      <c r="A77" s="121" t="s">
        <v>318</v>
      </c>
      <c r="Z77" s="542">
        <v>3.5</v>
      </c>
      <c r="AA77" s="548">
        <v>658</v>
      </c>
      <c r="AB77" s="544" t="s">
        <v>464</v>
      </c>
      <c r="AC77" s="549">
        <v>11483</v>
      </c>
      <c r="AD77" s="550"/>
      <c r="AE77" s="547"/>
      <c r="AF77" s="280">
        <v>267</v>
      </c>
    </row>
    <row r="78" spans="1:32" ht="15.75" thickBot="1">
      <c r="A78" s="121" t="s">
        <v>319</v>
      </c>
      <c r="Z78" s="542">
        <v>4</v>
      </c>
      <c r="AA78" s="548">
        <v>617</v>
      </c>
      <c r="AB78" s="544" t="s">
        <v>465</v>
      </c>
      <c r="AC78" s="549">
        <v>13123</v>
      </c>
      <c r="AD78" s="550"/>
      <c r="AE78" s="547"/>
      <c r="AF78" s="280">
        <v>263</v>
      </c>
    </row>
    <row r="79" spans="26:32" ht="13.5" thickBot="1">
      <c r="Z79" s="542">
        <v>5</v>
      </c>
      <c r="AA79" s="548">
        <v>541</v>
      </c>
      <c r="AB79" s="544" t="s">
        <v>466</v>
      </c>
      <c r="AC79" s="549">
        <v>16404</v>
      </c>
      <c r="AD79" s="550"/>
      <c r="AE79" s="547"/>
      <c r="AF79" s="280">
        <v>257</v>
      </c>
    </row>
    <row r="80" spans="26:32" ht="13.5" thickBot="1">
      <c r="Z80" s="542">
        <v>6</v>
      </c>
      <c r="AA80" s="548">
        <v>471</v>
      </c>
      <c r="AB80" s="544" t="s">
        <v>467</v>
      </c>
      <c r="AC80" s="549">
        <v>19685</v>
      </c>
      <c r="AD80" s="550"/>
      <c r="AE80" s="547"/>
      <c r="AF80" s="280"/>
    </row>
    <row r="81" spans="26:32" ht="26.25" thickBot="1">
      <c r="Z81" s="542">
        <v>7</v>
      </c>
      <c r="AA81" s="548">
        <v>411</v>
      </c>
      <c r="AB81" s="544" t="s">
        <v>468</v>
      </c>
      <c r="AC81" s="549">
        <v>22966</v>
      </c>
      <c r="AD81" s="550"/>
      <c r="AE81" s="547" t="s">
        <v>469</v>
      </c>
      <c r="AF81" s="280">
        <v>242</v>
      </c>
    </row>
    <row r="82" spans="26:32" ht="13.5" thickBot="1">
      <c r="Z82" s="542">
        <v>8</v>
      </c>
      <c r="AA82" s="548">
        <v>357</v>
      </c>
      <c r="AB82" s="544" t="s">
        <v>470</v>
      </c>
      <c r="AC82" s="549">
        <v>26247</v>
      </c>
      <c r="AD82" s="550"/>
      <c r="AE82" s="547"/>
      <c r="AF82" s="280"/>
    </row>
    <row r="83" spans="26:32" ht="13.5" thickBot="1">
      <c r="Z83" s="542">
        <v>9</v>
      </c>
      <c r="AA83" s="548">
        <v>331</v>
      </c>
      <c r="AB83" s="544" t="s">
        <v>471</v>
      </c>
      <c r="AC83" s="551">
        <v>29528</v>
      </c>
      <c r="AD83" s="550"/>
      <c r="AE83" s="547"/>
      <c r="AF83" s="280"/>
    </row>
    <row r="84" spans="26:32" ht="13.5" thickBot="1">
      <c r="Z84" s="552">
        <v>10</v>
      </c>
      <c r="AA84" s="553">
        <v>265</v>
      </c>
      <c r="AB84" s="554" t="s">
        <v>472</v>
      </c>
      <c r="AC84" s="555">
        <v>32808</v>
      </c>
      <c r="AD84" s="556"/>
      <c r="AE84" s="557"/>
      <c r="AF84" s="525">
        <v>222</v>
      </c>
    </row>
    <row r="85" spans="26:32" ht="14.25" thickBot="1" thickTop="1">
      <c r="Z85" s="558">
        <v>11</v>
      </c>
      <c r="AA85" s="559">
        <v>227</v>
      </c>
      <c r="AB85" s="560" t="s">
        <v>473</v>
      </c>
      <c r="AC85" s="561">
        <v>36089</v>
      </c>
      <c r="AD85" s="562"/>
      <c r="AE85" s="563"/>
      <c r="AF85" s="564">
        <v>218</v>
      </c>
    </row>
    <row r="86" spans="26:32" ht="14.25" thickBot="1" thickTop="1">
      <c r="Z86" s="542">
        <v>12</v>
      </c>
      <c r="AA86" s="548">
        <v>194</v>
      </c>
      <c r="AB86" s="544" t="s">
        <v>474</v>
      </c>
      <c r="AC86" s="551">
        <v>39370</v>
      </c>
      <c r="AD86" s="550"/>
      <c r="AE86" s="547"/>
      <c r="AF86" s="280">
        <v>217</v>
      </c>
    </row>
    <row r="87" spans="26:32" ht="13.5" thickBot="1">
      <c r="Z87" s="565">
        <v>13</v>
      </c>
      <c r="AA87" s="566">
        <v>165</v>
      </c>
      <c r="AB87" s="567" t="s">
        <v>474</v>
      </c>
      <c r="AC87" s="551">
        <v>42651</v>
      </c>
      <c r="AD87" s="550"/>
      <c r="AE87" s="547"/>
      <c r="AF87" s="280"/>
    </row>
    <row r="88" spans="26:32" ht="13.5" thickBot="1">
      <c r="Z88" s="565">
        <v>14</v>
      </c>
      <c r="AA88" s="566">
        <v>141</v>
      </c>
      <c r="AB88" s="567" t="s">
        <v>473</v>
      </c>
      <c r="AC88" s="551">
        <v>45932</v>
      </c>
      <c r="AD88" s="550"/>
      <c r="AE88" s="547"/>
      <c r="AF88" s="280"/>
    </row>
    <row r="89" spans="26:32" ht="26.25" thickBot="1">
      <c r="Z89" s="565">
        <v>15</v>
      </c>
      <c r="AA89" s="566">
        <v>119</v>
      </c>
      <c r="AB89" s="567" t="s">
        <v>473</v>
      </c>
      <c r="AC89" s="551">
        <v>49213</v>
      </c>
      <c r="AD89" s="550"/>
      <c r="AE89" s="547" t="s">
        <v>475</v>
      </c>
      <c r="AF89" s="280"/>
    </row>
    <row r="90" spans="26:32" ht="13.5" thickBot="1">
      <c r="Z90" s="565">
        <v>20</v>
      </c>
      <c r="AA90" s="566">
        <v>55</v>
      </c>
      <c r="AB90" s="567" t="s">
        <v>476</v>
      </c>
      <c r="AC90" s="549">
        <v>65617</v>
      </c>
      <c r="AD90" s="550"/>
      <c r="AE90" s="547"/>
      <c r="AF90" s="280"/>
    </row>
    <row r="91" spans="26:32" ht="13.5" thickBot="1">
      <c r="Z91" s="565">
        <v>30</v>
      </c>
      <c r="AA91" s="566">
        <v>11</v>
      </c>
      <c r="AB91" s="567" t="s">
        <v>470</v>
      </c>
      <c r="AC91" s="549">
        <v>98425</v>
      </c>
      <c r="AD91" s="550"/>
      <c r="AE91" s="547"/>
      <c r="AF91" s="280"/>
    </row>
    <row r="92" spans="26:32" ht="13.5" thickBot="1">
      <c r="Z92" s="565">
        <v>40</v>
      </c>
      <c r="AA92" s="566">
        <v>3</v>
      </c>
      <c r="AB92" s="567" t="s">
        <v>477</v>
      </c>
      <c r="AC92" s="549">
        <v>131234</v>
      </c>
      <c r="AD92" s="550"/>
      <c r="AE92" s="547"/>
      <c r="AF92" s="280"/>
    </row>
    <row r="93" spans="26:32" ht="39" thickBot="1">
      <c r="Z93" s="565">
        <v>50</v>
      </c>
      <c r="AA93" s="566">
        <v>0.9</v>
      </c>
      <c r="AB93" s="567" t="s">
        <v>478</v>
      </c>
      <c r="AC93" s="549">
        <v>164042</v>
      </c>
      <c r="AD93" s="550"/>
      <c r="AE93" s="547" t="s">
        <v>479</v>
      </c>
      <c r="AF93" s="280">
        <v>274</v>
      </c>
    </row>
  </sheetData>
  <sheetProtection password="CC26" sheet="1"/>
  <mergeCells count="7">
    <mergeCell ref="BL2:BM2"/>
    <mergeCell ref="T4:T5"/>
    <mergeCell ref="AV5:AV6"/>
    <mergeCell ref="AC7:AC8"/>
    <mergeCell ref="Z66:Z68"/>
    <mergeCell ref="AA68:AA69"/>
    <mergeCell ref="AC68:AC69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8.421875" style="0" customWidth="1"/>
    <col min="2" max="2" width="9.8515625" style="0" customWidth="1"/>
    <col min="3" max="3" width="9.00390625" style="0" customWidth="1"/>
    <col min="4" max="4" width="11.7109375" style="0" customWidth="1"/>
    <col min="5" max="5" width="13.00390625" style="0" customWidth="1"/>
    <col min="6" max="6" width="11.00390625" style="0" customWidth="1"/>
    <col min="7" max="7" width="10.7109375" style="0" customWidth="1"/>
    <col min="8" max="8" width="19.421875" style="0" customWidth="1"/>
    <col min="9" max="10" width="13.28125" style="0" customWidth="1"/>
    <col min="11" max="11" width="12.140625" style="0" customWidth="1"/>
  </cols>
  <sheetData>
    <row r="1" spans="1:11" ht="24" thickBot="1">
      <c r="A1" s="693"/>
      <c r="B1" s="693"/>
      <c r="C1" s="693"/>
      <c r="D1" s="693"/>
      <c r="E1" s="694"/>
      <c r="F1" s="695" t="s">
        <v>561</v>
      </c>
      <c r="G1" s="696">
        <v>3</v>
      </c>
      <c r="H1" s="694" t="s">
        <v>562</v>
      </c>
      <c r="I1" s="694"/>
      <c r="J1" s="694"/>
      <c r="K1" s="694"/>
    </row>
    <row r="2" spans="1:11" ht="24.75" thickBot="1" thickTop="1">
      <c r="A2" s="693" t="s">
        <v>563</v>
      </c>
      <c r="B2" s="694"/>
      <c r="C2" s="694"/>
      <c r="D2" s="694"/>
      <c r="E2" s="694"/>
      <c r="F2" s="697" t="s">
        <v>564</v>
      </c>
      <c r="G2" s="698">
        <f>100*TAN(G1*PI()/180)</f>
        <v>5.240777928304119</v>
      </c>
      <c r="H2" s="698" t="s">
        <v>13</v>
      </c>
      <c r="I2" s="699" t="s">
        <v>565</v>
      </c>
      <c r="J2" s="700"/>
      <c r="K2" s="701"/>
    </row>
    <row r="3" spans="1:11" ht="24" thickTop="1">
      <c r="A3" s="702" t="s">
        <v>566</v>
      </c>
      <c r="B3" s="703"/>
      <c r="C3" s="703"/>
      <c r="D3" s="703"/>
      <c r="E3" s="703"/>
      <c r="F3" s="795" t="s">
        <v>567</v>
      </c>
      <c r="G3" s="796"/>
      <c r="H3" s="797"/>
      <c r="I3" s="791" t="s">
        <v>568</v>
      </c>
      <c r="J3" s="704" t="s">
        <v>11</v>
      </c>
      <c r="K3" s="705" t="s">
        <v>11</v>
      </c>
    </row>
    <row r="4" spans="1:11" s="4" customFormat="1" ht="23.25">
      <c r="A4" s="706" t="s">
        <v>20</v>
      </c>
      <c r="B4" s="707" t="s">
        <v>22</v>
      </c>
      <c r="C4" s="707" t="s">
        <v>422</v>
      </c>
      <c r="D4" s="707" t="s">
        <v>569</v>
      </c>
      <c r="E4" s="707" t="s">
        <v>570</v>
      </c>
      <c r="F4" s="798" t="s">
        <v>570</v>
      </c>
      <c r="G4" s="789" t="s">
        <v>571</v>
      </c>
      <c r="H4" s="799"/>
      <c r="I4" s="792" t="s">
        <v>0</v>
      </c>
      <c r="J4" s="708" t="s">
        <v>0</v>
      </c>
      <c r="K4" s="709" t="s">
        <v>572</v>
      </c>
    </row>
    <row r="5" spans="1:11" ht="23.25">
      <c r="A5" s="710">
        <v>80</v>
      </c>
      <c r="B5" s="711">
        <f>A5*1.852</f>
        <v>148.16</v>
      </c>
      <c r="C5" s="711">
        <f>B5/3.6</f>
        <v>41.15555555555555</v>
      </c>
      <c r="D5" s="711">
        <f>C5*60</f>
        <v>2469.333333333333</v>
      </c>
      <c r="E5" s="711">
        <f>D5/0.3048</f>
        <v>8101.487314085738</v>
      </c>
      <c r="F5" s="800">
        <f>E5*SIN($G$1*PI()/180)</f>
        <v>423.9990855727557</v>
      </c>
      <c r="G5" s="790">
        <f>$E5*$G$2/100</f>
        <v>424.5809590209636</v>
      </c>
      <c r="H5" s="801"/>
      <c r="I5" s="793">
        <v>20</v>
      </c>
      <c r="J5" s="712">
        <f>I5*$G$2/100</f>
        <v>1.0481555856608238</v>
      </c>
      <c r="K5" s="713">
        <f>$J5*1852/0.3048</f>
        <v>6368.714385314454</v>
      </c>
    </row>
    <row r="6" spans="1:11" ht="23.25">
      <c r="A6" s="710">
        <v>100</v>
      </c>
      <c r="B6" s="711">
        <f aca="true" t="shared" si="0" ref="B6:B11">A6*1.852</f>
        <v>185.20000000000002</v>
      </c>
      <c r="C6" s="711">
        <f aca="true" t="shared" si="1" ref="C6:C11">B6/3.6</f>
        <v>51.44444444444445</v>
      </c>
      <c r="D6" s="711">
        <f aca="true" t="shared" si="2" ref="D6:D11">C6*60</f>
        <v>3086.666666666667</v>
      </c>
      <c r="E6" s="711">
        <f aca="true" t="shared" si="3" ref="E6:E11">D6/0.3048</f>
        <v>10126.859142607174</v>
      </c>
      <c r="F6" s="800">
        <f aca="true" t="shared" si="4" ref="F6:F11">E6*SIN($G$1*PI()/180)</f>
        <v>529.9988569659447</v>
      </c>
      <c r="G6" s="790">
        <f aca="true" t="shared" si="5" ref="G6:G11">$E6*$G$2/100</f>
        <v>530.7261987762046</v>
      </c>
      <c r="H6" s="801"/>
      <c r="I6" s="793">
        <v>15</v>
      </c>
      <c r="J6" s="712">
        <f aca="true" t="shared" si="6" ref="J6:J11">I6*$G$2/100</f>
        <v>0.786116689245618</v>
      </c>
      <c r="K6" s="713">
        <f aca="true" t="shared" si="7" ref="K6:K11">$J6*1852/0.3048</f>
        <v>4776.5357889858415</v>
      </c>
    </row>
    <row r="7" spans="1:11" ht="23.25">
      <c r="A7" s="710">
        <v>120</v>
      </c>
      <c r="B7" s="711">
        <f t="shared" si="0"/>
        <v>222.24</v>
      </c>
      <c r="C7" s="711">
        <f t="shared" si="1"/>
        <v>61.733333333333334</v>
      </c>
      <c r="D7" s="711">
        <f t="shared" si="2"/>
        <v>3704</v>
      </c>
      <c r="E7" s="711">
        <f t="shared" si="3"/>
        <v>12152.230971128609</v>
      </c>
      <c r="F7" s="800">
        <f t="shared" si="4"/>
        <v>635.9986283591337</v>
      </c>
      <c r="G7" s="790">
        <f t="shared" si="5"/>
        <v>636.8714385314455</v>
      </c>
      <c r="H7" s="801"/>
      <c r="I7" s="793">
        <v>10</v>
      </c>
      <c r="J7" s="712">
        <f t="shared" si="6"/>
        <v>0.5240777928304119</v>
      </c>
      <c r="K7" s="713">
        <f t="shared" si="7"/>
        <v>3184.357192657227</v>
      </c>
    </row>
    <row r="8" spans="1:11" ht="23.25">
      <c r="A8" s="710">
        <v>150</v>
      </c>
      <c r="B8" s="711">
        <f t="shared" si="0"/>
        <v>277.8</v>
      </c>
      <c r="C8" s="711">
        <f t="shared" si="1"/>
        <v>77.16666666666667</v>
      </c>
      <c r="D8" s="711">
        <f t="shared" si="2"/>
        <v>4630</v>
      </c>
      <c r="E8" s="711">
        <f t="shared" si="3"/>
        <v>15190.28871391076</v>
      </c>
      <c r="F8" s="800">
        <f t="shared" si="4"/>
        <v>794.998285448917</v>
      </c>
      <c r="G8" s="790">
        <f t="shared" si="5"/>
        <v>796.0892981643068</v>
      </c>
      <c r="H8" s="801"/>
      <c r="I8" s="793">
        <v>8</v>
      </c>
      <c r="J8" s="712">
        <f t="shared" si="6"/>
        <v>0.41926223426432957</v>
      </c>
      <c r="K8" s="713">
        <f t="shared" si="7"/>
        <v>2547.485754125782</v>
      </c>
    </row>
    <row r="9" spans="1:11" ht="23.25">
      <c r="A9" s="710">
        <v>180</v>
      </c>
      <c r="B9" s="711">
        <f t="shared" si="0"/>
        <v>333.36</v>
      </c>
      <c r="C9" s="711">
        <f t="shared" si="1"/>
        <v>92.60000000000001</v>
      </c>
      <c r="D9" s="711">
        <f t="shared" si="2"/>
        <v>5556.000000000001</v>
      </c>
      <c r="E9" s="711">
        <f t="shared" si="3"/>
        <v>18228.346456692914</v>
      </c>
      <c r="F9" s="800">
        <f t="shared" si="4"/>
        <v>953.9979425387005</v>
      </c>
      <c r="G9" s="790">
        <f t="shared" si="5"/>
        <v>955.3071577971683</v>
      </c>
      <c r="H9" s="801"/>
      <c r="I9" s="793">
        <v>5.2</v>
      </c>
      <c r="J9" s="712">
        <f t="shared" si="6"/>
        <v>0.2725204522718142</v>
      </c>
      <c r="K9" s="713">
        <f t="shared" si="7"/>
        <v>1655.8657401817582</v>
      </c>
    </row>
    <row r="10" spans="1:11" ht="23.25">
      <c r="A10" s="710">
        <v>200</v>
      </c>
      <c r="B10" s="711">
        <f t="shared" si="0"/>
        <v>370.40000000000003</v>
      </c>
      <c r="C10" s="711">
        <f t="shared" si="1"/>
        <v>102.8888888888889</v>
      </c>
      <c r="D10" s="711">
        <f t="shared" si="2"/>
        <v>6173.333333333334</v>
      </c>
      <c r="E10" s="711">
        <f t="shared" si="3"/>
        <v>20253.71828521435</v>
      </c>
      <c r="F10" s="800">
        <f t="shared" si="4"/>
        <v>1059.9977139318894</v>
      </c>
      <c r="G10" s="790">
        <f t="shared" si="5"/>
        <v>1061.4523975524091</v>
      </c>
      <c r="H10" s="801"/>
      <c r="I10" s="793">
        <v>5</v>
      </c>
      <c r="J10" s="712">
        <f t="shared" si="6"/>
        <v>0.26203889641520595</v>
      </c>
      <c r="K10" s="713">
        <f t="shared" si="7"/>
        <v>1592.1785963286136</v>
      </c>
    </row>
    <row r="11" spans="1:11" ht="24" thickBot="1">
      <c r="A11" s="714">
        <v>250</v>
      </c>
      <c r="B11" s="715">
        <f t="shared" si="0"/>
        <v>463</v>
      </c>
      <c r="C11" s="715">
        <f t="shared" si="1"/>
        <v>128.61111111111111</v>
      </c>
      <c r="D11" s="715">
        <f t="shared" si="2"/>
        <v>7716.666666666667</v>
      </c>
      <c r="E11" s="715">
        <f t="shared" si="3"/>
        <v>25317.147856517935</v>
      </c>
      <c r="F11" s="802">
        <f t="shared" si="4"/>
        <v>1324.9971424148619</v>
      </c>
      <c r="G11" s="803">
        <f t="shared" si="5"/>
        <v>1326.8154969405116</v>
      </c>
      <c r="H11" s="804"/>
      <c r="I11" s="794">
        <v>1</v>
      </c>
      <c r="J11" s="716">
        <f t="shared" si="6"/>
        <v>0.052407779283041196</v>
      </c>
      <c r="K11" s="717">
        <f t="shared" si="7"/>
        <v>318.43571926572275</v>
      </c>
    </row>
    <row r="12" ht="13.5" thickTop="1"/>
    <row r="13" ht="27.75">
      <c r="F13" s="718" t="s">
        <v>375</v>
      </c>
    </row>
    <row r="16" spans="2:6" ht="15.75">
      <c r="B16" s="75" t="s">
        <v>111</v>
      </c>
      <c r="C16" s="752"/>
      <c r="D16" s="752"/>
      <c r="E16" s="752"/>
      <c r="F16" s="7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C80"/>
  <sheetViews>
    <sheetView zoomScalePageLayoutView="0" workbookViewId="0" topLeftCell="A45">
      <selection activeCell="B34" sqref="B34"/>
    </sheetView>
  </sheetViews>
  <sheetFormatPr defaultColWidth="11.421875" defaultRowHeight="12.75"/>
  <cols>
    <col min="1" max="1" width="10.421875" style="112" customWidth="1"/>
    <col min="2" max="2" width="41.28125" style="112" customWidth="1"/>
    <col min="3" max="3" width="90.57421875" style="119" customWidth="1"/>
    <col min="4" max="16384" width="11.421875" style="112" customWidth="1"/>
  </cols>
  <sheetData>
    <row r="1" spans="1:3" ht="30.75" customHeight="1">
      <c r="A1" s="827" t="s">
        <v>152</v>
      </c>
      <c r="B1" s="827"/>
      <c r="C1" s="827"/>
    </row>
    <row r="2" spans="1:3" ht="12.75">
      <c r="A2" s="113" t="s">
        <v>153</v>
      </c>
      <c r="B2" s="113" t="s">
        <v>154</v>
      </c>
      <c r="C2" s="114" t="s">
        <v>155</v>
      </c>
    </row>
    <row r="3" spans="1:3" ht="12.75">
      <c r="A3" s="113" t="s">
        <v>156</v>
      </c>
      <c r="B3" s="113" t="s">
        <v>157</v>
      </c>
      <c r="C3" s="114" t="s">
        <v>158</v>
      </c>
    </row>
    <row r="4" spans="1:3" ht="15.75">
      <c r="A4" s="115" t="s">
        <v>159</v>
      </c>
      <c r="B4" s="113" t="s">
        <v>160</v>
      </c>
      <c r="C4" s="114" t="s">
        <v>161</v>
      </c>
    </row>
    <row r="5" spans="1:3" ht="25.5">
      <c r="A5" s="113" t="s">
        <v>162</v>
      </c>
      <c r="B5" s="113" t="s">
        <v>163</v>
      </c>
      <c r="C5" s="114" t="s">
        <v>164</v>
      </c>
    </row>
    <row r="6" spans="1:3" ht="15.75">
      <c r="A6" s="115" t="s">
        <v>165</v>
      </c>
      <c r="B6" s="113" t="s">
        <v>166</v>
      </c>
      <c r="C6" s="114" t="s">
        <v>167</v>
      </c>
    </row>
    <row r="7" spans="1:3" ht="12.75">
      <c r="A7" s="113" t="s">
        <v>168</v>
      </c>
      <c r="B7" s="113" t="s">
        <v>169</v>
      </c>
      <c r="C7" s="114" t="s">
        <v>170</v>
      </c>
    </row>
    <row r="8" spans="1:3" ht="12.75">
      <c r="A8" s="113" t="s">
        <v>171</v>
      </c>
      <c r="B8" s="113" t="s">
        <v>172</v>
      </c>
      <c r="C8" s="114" t="s">
        <v>173</v>
      </c>
    </row>
    <row r="9" spans="1:3" ht="12.75">
      <c r="A9" s="113" t="s">
        <v>174</v>
      </c>
      <c r="B9" s="113" t="s">
        <v>175</v>
      </c>
      <c r="C9" s="114" t="s">
        <v>176</v>
      </c>
    </row>
    <row r="10" spans="1:3" ht="12.75">
      <c r="A10" s="113" t="s">
        <v>177</v>
      </c>
      <c r="B10" s="113" t="s">
        <v>178</v>
      </c>
      <c r="C10" s="114" t="s">
        <v>179</v>
      </c>
    </row>
    <row r="11" spans="1:3" ht="12.75">
      <c r="A11" s="113" t="s">
        <v>180</v>
      </c>
      <c r="B11" s="113" t="s">
        <v>181</v>
      </c>
      <c r="C11" s="114" t="s">
        <v>182</v>
      </c>
    </row>
    <row r="12" spans="1:3" ht="18.75" customHeight="1">
      <c r="A12" s="113" t="s">
        <v>183</v>
      </c>
      <c r="B12" s="113" t="s">
        <v>184</v>
      </c>
      <c r="C12" s="114" t="s">
        <v>185</v>
      </c>
    </row>
    <row r="13" spans="1:3" ht="15" customHeight="1">
      <c r="A13" s="113" t="s">
        <v>186</v>
      </c>
      <c r="B13" s="113" t="s">
        <v>187</v>
      </c>
      <c r="C13" s="114" t="s">
        <v>188</v>
      </c>
    </row>
    <row r="14" spans="1:3" ht="12.75">
      <c r="A14" s="113" t="s">
        <v>189</v>
      </c>
      <c r="B14" s="113" t="s">
        <v>190</v>
      </c>
      <c r="C14" s="114" t="s">
        <v>191</v>
      </c>
    </row>
    <row r="15" spans="1:3" ht="12.75">
      <c r="A15" s="113" t="s">
        <v>192</v>
      </c>
      <c r="B15" s="113" t="s">
        <v>193</v>
      </c>
      <c r="C15" s="114" t="s">
        <v>194</v>
      </c>
    </row>
    <row r="16" spans="1:3" ht="12.75">
      <c r="A16" s="113" t="s">
        <v>195</v>
      </c>
      <c r="B16" s="113" t="s">
        <v>196</v>
      </c>
      <c r="C16" s="114" t="s">
        <v>197</v>
      </c>
    </row>
    <row r="17" spans="1:3" ht="15.75">
      <c r="A17" s="115" t="s">
        <v>198</v>
      </c>
      <c r="B17" s="113" t="s">
        <v>199</v>
      </c>
      <c r="C17" s="114" t="s">
        <v>200</v>
      </c>
    </row>
    <row r="18" spans="1:3" ht="12.75">
      <c r="A18" s="113" t="s">
        <v>201</v>
      </c>
      <c r="B18" s="113" t="s">
        <v>202</v>
      </c>
      <c r="C18" s="114" t="s">
        <v>203</v>
      </c>
    </row>
    <row r="19" spans="1:3" ht="25.5">
      <c r="A19" s="113" t="s">
        <v>204</v>
      </c>
      <c r="B19" s="113" t="s">
        <v>205</v>
      </c>
      <c r="C19" s="114" t="s">
        <v>206</v>
      </c>
    </row>
    <row r="20" spans="1:3" ht="25.5">
      <c r="A20" s="113" t="s">
        <v>207</v>
      </c>
      <c r="B20" s="113" t="s">
        <v>208</v>
      </c>
      <c r="C20" s="114" t="s">
        <v>209</v>
      </c>
    </row>
    <row r="21" spans="1:3" ht="25.5">
      <c r="A21" s="113" t="s">
        <v>210</v>
      </c>
      <c r="B21" s="113" t="s">
        <v>211</v>
      </c>
      <c r="C21" s="114" t="s">
        <v>212</v>
      </c>
    </row>
    <row r="22" spans="1:3" ht="12.75">
      <c r="A22" s="113" t="s">
        <v>213</v>
      </c>
      <c r="B22" s="113" t="s">
        <v>214</v>
      </c>
      <c r="C22" s="114" t="s">
        <v>215</v>
      </c>
    </row>
    <row r="23" spans="1:3" ht="12.75">
      <c r="A23" s="113" t="s">
        <v>216</v>
      </c>
      <c r="B23" s="113" t="s">
        <v>217</v>
      </c>
      <c r="C23" s="114" t="s">
        <v>218</v>
      </c>
    </row>
    <row r="24" spans="1:3" ht="12.75">
      <c r="A24" s="113" t="s">
        <v>219</v>
      </c>
      <c r="B24" s="113" t="s">
        <v>220</v>
      </c>
      <c r="C24" s="114" t="s">
        <v>221</v>
      </c>
    </row>
    <row r="25" spans="1:3" ht="12.75">
      <c r="A25" s="113" t="s">
        <v>222</v>
      </c>
      <c r="B25" s="113" t="s">
        <v>223</v>
      </c>
      <c r="C25" s="114" t="s">
        <v>224</v>
      </c>
    </row>
    <row r="26" spans="1:3" ht="12.75">
      <c r="A26" s="113" t="s">
        <v>225</v>
      </c>
      <c r="B26" s="113" t="s">
        <v>226</v>
      </c>
      <c r="C26" s="114" t="s">
        <v>227</v>
      </c>
    </row>
    <row r="27" spans="1:3" ht="25.5">
      <c r="A27" s="113" t="s">
        <v>228</v>
      </c>
      <c r="B27" s="113" t="s">
        <v>229</v>
      </c>
      <c r="C27" s="114" t="s">
        <v>230</v>
      </c>
    </row>
    <row r="28" spans="1:3" ht="12.75">
      <c r="A28" s="113" t="s">
        <v>231</v>
      </c>
      <c r="B28" s="113" t="s">
        <v>232</v>
      </c>
      <c r="C28" s="114" t="s">
        <v>233</v>
      </c>
    </row>
    <row r="29" spans="1:3" ht="21.75" customHeight="1">
      <c r="A29" s="115" t="s">
        <v>234</v>
      </c>
      <c r="B29" s="113" t="s">
        <v>235</v>
      </c>
      <c r="C29" s="114" t="s">
        <v>236</v>
      </c>
    </row>
    <row r="30" spans="1:3" s="118" customFormat="1" ht="5.25" customHeight="1">
      <c r="A30" s="116"/>
      <c r="B30" s="116"/>
      <c r="C30" s="117"/>
    </row>
    <row r="31" spans="1:3" ht="28.5" customHeight="1">
      <c r="A31" s="827" t="s">
        <v>237</v>
      </c>
      <c r="B31" s="827"/>
      <c r="C31" s="827"/>
    </row>
    <row r="32" spans="1:3" ht="12.75">
      <c r="A32" s="113" t="s">
        <v>238</v>
      </c>
      <c r="B32" s="113" t="s">
        <v>239</v>
      </c>
      <c r="C32" s="114" t="s">
        <v>240</v>
      </c>
    </row>
    <row r="33" spans="1:3" ht="25.5">
      <c r="A33" s="113" t="s">
        <v>241</v>
      </c>
      <c r="B33" s="113" t="s">
        <v>242</v>
      </c>
      <c r="C33" s="114" t="s">
        <v>243</v>
      </c>
    </row>
    <row r="34" spans="1:3" ht="25.5">
      <c r="A34" s="113" t="s">
        <v>244</v>
      </c>
      <c r="B34" s="113" t="s">
        <v>245</v>
      </c>
      <c r="C34" s="114" t="s">
        <v>246</v>
      </c>
    </row>
    <row r="35" spans="1:3" ht="12.75">
      <c r="A35" s="113" t="s">
        <v>247</v>
      </c>
      <c r="B35" s="113" t="s">
        <v>248</v>
      </c>
      <c r="C35" s="114" t="s">
        <v>249</v>
      </c>
    </row>
    <row r="36" spans="1:3" ht="25.5">
      <c r="A36" s="113" t="s">
        <v>250</v>
      </c>
      <c r="B36" s="113" t="s">
        <v>251</v>
      </c>
      <c r="C36" s="114" t="s">
        <v>252</v>
      </c>
    </row>
    <row r="37" spans="1:3" ht="12.75">
      <c r="A37" s="113" t="s">
        <v>253</v>
      </c>
      <c r="B37" s="113" t="s">
        <v>254</v>
      </c>
      <c r="C37" s="114" t="s">
        <v>255</v>
      </c>
    </row>
    <row r="38" spans="1:3" ht="12.75">
      <c r="A38" s="113" t="s">
        <v>256</v>
      </c>
      <c r="B38" s="113" t="s">
        <v>257</v>
      </c>
      <c r="C38" s="114" t="s">
        <v>258</v>
      </c>
    </row>
    <row r="39" spans="1:3" ht="12.75">
      <c r="A39" s="113" t="s">
        <v>259</v>
      </c>
      <c r="B39" s="113" t="s">
        <v>260</v>
      </c>
      <c r="C39" s="114" t="s">
        <v>261</v>
      </c>
    </row>
    <row r="40" spans="1:3" ht="12.75">
      <c r="A40" s="113" t="s">
        <v>262</v>
      </c>
      <c r="B40" s="113" t="s">
        <v>263</v>
      </c>
      <c r="C40" s="114" t="s">
        <v>264</v>
      </c>
    </row>
    <row r="41" spans="1:3" ht="25.5">
      <c r="A41" s="113" t="s">
        <v>265</v>
      </c>
      <c r="B41" s="113" t="s">
        <v>266</v>
      </c>
      <c r="C41" s="114" t="s">
        <v>267</v>
      </c>
    </row>
    <row r="42" spans="1:3" s="118" customFormat="1" ht="5.25" customHeight="1">
      <c r="A42" s="116"/>
      <c r="B42" s="116"/>
      <c r="C42" s="117"/>
    </row>
    <row r="43" spans="1:3" ht="30" customHeight="1">
      <c r="A43" s="824" t="s">
        <v>268</v>
      </c>
      <c r="B43" s="825"/>
      <c r="C43" s="826"/>
    </row>
    <row r="44" spans="1:3" ht="12.75">
      <c r="A44" s="113" t="s">
        <v>269</v>
      </c>
      <c r="B44" s="113" t="s">
        <v>270</v>
      </c>
      <c r="C44" s="114" t="s">
        <v>271</v>
      </c>
    </row>
    <row r="45" spans="1:3" ht="12.75">
      <c r="A45" s="113" t="s">
        <v>272</v>
      </c>
      <c r="B45" s="113" t="s">
        <v>273</v>
      </c>
      <c r="C45" s="114" t="s">
        <v>274</v>
      </c>
    </row>
    <row r="46" spans="1:3" s="118" customFormat="1" ht="5.25" customHeight="1">
      <c r="A46" s="116"/>
      <c r="B46" s="116"/>
      <c r="C46" s="117"/>
    </row>
    <row r="47" spans="1:3" ht="31.5" customHeight="1">
      <c r="A47" s="824" t="s">
        <v>275</v>
      </c>
      <c r="B47" s="825"/>
      <c r="C47" s="826"/>
    </row>
    <row r="48" spans="1:3" ht="25.5">
      <c r="A48" s="113" t="s">
        <v>276</v>
      </c>
      <c r="B48" s="113" t="s">
        <v>277</v>
      </c>
      <c r="C48" s="114" t="s">
        <v>278</v>
      </c>
    </row>
    <row r="49" spans="1:3" ht="25.5">
      <c r="A49" s="113" t="s">
        <v>279</v>
      </c>
      <c r="B49" s="113" t="s">
        <v>280</v>
      </c>
      <c r="C49" s="114" t="s">
        <v>281</v>
      </c>
    </row>
    <row r="50" spans="1:3" ht="12.75">
      <c r="A50" s="113" t="s">
        <v>282</v>
      </c>
      <c r="B50" s="113" t="s">
        <v>283</v>
      </c>
      <c r="C50" s="114" t="s">
        <v>284</v>
      </c>
    </row>
    <row r="51" spans="1:3" ht="15.75">
      <c r="A51" s="115" t="s">
        <v>285</v>
      </c>
      <c r="B51" s="113" t="s">
        <v>286</v>
      </c>
      <c r="C51" s="114" t="s">
        <v>287</v>
      </c>
    </row>
    <row r="52" spans="1:3" s="118" customFormat="1" ht="5.25" customHeight="1">
      <c r="A52" s="116"/>
      <c r="B52" s="116"/>
      <c r="C52" s="117"/>
    </row>
    <row r="53" spans="1:3" ht="33" customHeight="1">
      <c r="A53" s="824" t="s">
        <v>288</v>
      </c>
      <c r="B53" s="825"/>
      <c r="C53" s="826"/>
    </row>
    <row r="54" spans="1:3" ht="12.75">
      <c r="A54" s="113" t="s">
        <v>289</v>
      </c>
      <c r="B54" s="113" t="s">
        <v>290</v>
      </c>
      <c r="C54" s="114" t="s">
        <v>291</v>
      </c>
    </row>
    <row r="55" spans="1:3" ht="12.75">
      <c r="A55" s="113" t="s">
        <v>292</v>
      </c>
      <c r="B55" s="113" t="s">
        <v>293</v>
      </c>
      <c r="C55" s="114" t="s">
        <v>294</v>
      </c>
    </row>
    <row r="56" spans="1:3" ht="25.5">
      <c r="A56" s="113" t="s">
        <v>295</v>
      </c>
      <c r="B56" s="113" t="s">
        <v>296</v>
      </c>
      <c r="C56" s="114" t="s">
        <v>297</v>
      </c>
    </row>
    <row r="57" spans="1:3" s="118" customFormat="1" ht="5.25" customHeight="1">
      <c r="A57" s="116"/>
      <c r="B57" s="116"/>
      <c r="C57" s="117"/>
    </row>
    <row r="58" spans="1:3" ht="31.5" customHeight="1">
      <c r="A58" s="827" t="s">
        <v>298</v>
      </c>
      <c r="B58" s="827"/>
      <c r="C58" s="827"/>
    </row>
    <row r="59" spans="1:3" ht="12.75">
      <c r="A59" s="113" t="s">
        <v>299</v>
      </c>
      <c r="B59" s="113" t="s">
        <v>300</v>
      </c>
      <c r="C59" s="114" t="s">
        <v>301</v>
      </c>
    </row>
    <row r="60" spans="1:3" ht="25.5">
      <c r="A60" s="113" t="s">
        <v>302</v>
      </c>
      <c r="B60" s="113" t="s">
        <v>303</v>
      </c>
      <c r="C60" s="114" t="s">
        <v>304</v>
      </c>
    </row>
    <row r="61" spans="1:3" ht="12.75">
      <c r="A61" s="113" t="s">
        <v>305</v>
      </c>
      <c r="B61" s="113" t="s">
        <v>306</v>
      </c>
      <c r="C61" s="114" t="s">
        <v>307</v>
      </c>
    </row>
    <row r="62" spans="1:3" ht="25.5">
      <c r="A62" s="113" t="s">
        <v>308</v>
      </c>
      <c r="B62" s="113" t="s">
        <v>309</v>
      </c>
      <c r="C62" s="114" t="s">
        <v>310</v>
      </c>
    </row>
    <row r="66" ht="12.75">
      <c r="A66" s="719" t="s">
        <v>573</v>
      </c>
    </row>
    <row r="67" ht="12.75">
      <c r="A67"/>
    </row>
    <row r="68" ht="12.75">
      <c r="A68" s="720" t="s">
        <v>574</v>
      </c>
    </row>
    <row r="69" ht="12.75">
      <c r="A69" s="720" t="s">
        <v>575</v>
      </c>
    </row>
    <row r="70" ht="12.75">
      <c r="A70" s="720" t="s">
        <v>576</v>
      </c>
    </row>
    <row r="71" ht="12.75">
      <c r="A71" s="720" t="s">
        <v>577</v>
      </c>
    </row>
    <row r="72" ht="12.75">
      <c r="A72" s="720" t="s">
        <v>578</v>
      </c>
    </row>
    <row r="73" ht="12.75">
      <c r="A73" s="720" t="s">
        <v>579</v>
      </c>
    </row>
    <row r="74" ht="12.75">
      <c r="A74" s="720" t="s">
        <v>580</v>
      </c>
    </row>
    <row r="75" ht="12.75">
      <c r="A75" s="720" t="s">
        <v>581</v>
      </c>
    </row>
    <row r="76" ht="12.75">
      <c r="A76" s="720" t="s">
        <v>582</v>
      </c>
    </row>
    <row r="77" ht="12.75">
      <c r="A77" s="720" t="s">
        <v>583</v>
      </c>
    </row>
    <row r="78" ht="12.75">
      <c r="A78" s="720" t="s">
        <v>584</v>
      </c>
    </row>
    <row r="79" ht="12.75">
      <c r="A79" s="720" t="s">
        <v>585</v>
      </c>
    </row>
    <row r="80" ht="12.75">
      <c r="A80" s="720" t="s">
        <v>586</v>
      </c>
    </row>
  </sheetData>
  <sheetProtection/>
  <mergeCells count="6">
    <mergeCell ref="A53:C53"/>
    <mergeCell ref="A58:C58"/>
    <mergeCell ref="A1:C1"/>
    <mergeCell ref="A31:C31"/>
    <mergeCell ref="A43:C43"/>
    <mergeCell ref="A47:C47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Meteosat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Minch</dc:creator>
  <cp:keywords/>
  <dc:description/>
  <cp:lastModifiedBy>Denis_2</cp:lastModifiedBy>
  <cp:lastPrinted>2005-02-01T11:44:34Z</cp:lastPrinted>
  <dcterms:created xsi:type="dcterms:W3CDTF">2004-05-24T07:55:24Z</dcterms:created>
  <dcterms:modified xsi:type="dcterms:W3CDTF">2013-11-11T22:29:53Z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